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na 2020\LMDA\2022\"/>
    </mc:Choice>
  </mc:AlternateContent>
  <xr:revisionPtr revIDLastSave="0" documentId="13_ncr:1_{000059D4-6B6F-456C-81EA-ABE292BC1873}" xr6:coauthVersionLast="47" xr6:coauthVersionMax="47" xr10:uidLastSave="{00000000-0000-0000-0000-000000000000}"/>
  <bookViews>
    <workbookView xWindow="2760" yWindow="2760" windowWidth="2400" windowHeight="585" xr2:uid="{00000000-000D-0000-FFFF-FFFF00000000}"/>
  </bookViews>
  <sheets>
    <sheet name="Mini kids" sheetId="5" r:id="rId1"/>
    <sheet name="Children female" sheetId="1" r:id="rId2"/>
    <sheet name="Children male" sheetId="2" r:id="rId3"/>
    <sheet name="Juniors female" sheetId="3" r:id="rId4"/>
    <sheet name="Juniors male" sheetId="4" r:id="rId5"/>
    <sheet name="Adults female" sheetId="6" r:id="rId6"/>
    <sheet name="Adults male" sheetId="8" r:id="rId7"/>
  </sheets>
  <definedNames>
    <definedName name="_xlnm._FilterDatabase" localSheetId="5" hidden="1">'Adults female'!$B$1:$B$325</definedName>
    <definedName name="_xlnm._FilterDatabase" localSheetId="1" hidden="1">'Children female'!$B$1:$B$359</definedName>
    <definedName name="_xlnm._FilterDatabase" localSheetId="2" hidden="1">'Children male'!$B$1:$B$1672</definedName>
    <definedName name="_xlnm._FilterDatabase" localSheetId="3" hidden="1">'Juniors female'!$B$1:$B$499</definedName>
    <definedName name="_xlnm._FilterDatabase" localSheetId="0" hidden="1">'Mini kids'!$B$1:$B$18</definedName>
  </definedNames>
  <calcPr calcId="181029"/>
</workbook>
</file>

<file path=xl/calcChain.xml><?xml version="1.0" encoding="utf-8"?>
<calcChain xmlns="http://schemas.openxmlformats.org/spreadsheetml/2006/main">
  <c r="E127" i="6" l="1"/>
  <c r="E31" i="6"/>
  <c r="G13" i="3"/>
  <c r="E169" i="6"/>
  <c r="E69" i="6"/>
  <c r="E52" i="6"/>
  <c r="G30" i="3"/>
  <c r="E179" i="6"/>
  <c r="E92" i="6"/>
  <c r="E214" i="6"/>
  <c r="E74" i="5"/>
  <c r="E46" i="5"/>
  <c r="E115" i="3"/>
  <c r="E8" i="3"/>
  <c r="E20" i="3"/>
  <c r="E18" i="3"/>
  <c r="E16" i="3"/>
  <c r="E9" i="3"/>
  <c r="E14" i="3"/>
  <c r="E160" i="3"/>
  <c r="E29" i="3"/>
  <c r="E34" i="3"/>
  <c r="E491" i="3"/>
  <c r="E496" i="3"/>
  <c r="E492" i="3"/>
  <c r="G312" i="1"/>
  <c r="G285" i="1"/>
  <c r="E495" i="3"/>
  <c r="E208" i="3"/>
  <c r="E482" i="3"/>
  <c r="E143" i="3"/>
  <c r="E51" i="4"/>
  <c r="E475" i="3"/>
  <c r="E472" i="3"/>
  <c r="G136" i="1"/>
  <c r="E136" i="1"/>
  <c r="E452" i="3"/>
  <c r="E149" i="3"/>
  <c r="E125" i="3"/>
  <c r="E130" i="3"/>
  <c r="E32" i="3"/>
  <c r="E242" i="3"/>
  <c r="E43" i="3"/>
  <c r="D133" i="1"/>
  <c r="G133" i="1"/>
  <c r="E361" i="3"/>
  <c r="E15" i="3"/>
  <c r="E19" i="3"/>
  <c r="E21" i="3"/>
  <c r="E24" i="3"/>
  <c r="E6" i="4"/>
  <c r="E28" i="3"/>
  <c r="E104" i="1"/>
  <c r="E215" i="1"/>
  <c r="E321" i="1"/>
  <c r="E327" i="1"/>
  <c r="E317" i="1"/>
  <c r="E309" i="1"/>
  <c r="E75" i="1"/>
  <c r="E302" i="1"/>
  <c r="E347" i="1"/>
  <c r="E328" i="1"/>
  <c r="E311" i="1"/>
  <c r="E318" i="1"/>
  <c r="E320" i="1"/>
  <c r="E294" i="1"/>
  <c r="E51" i="1"/>
  <c r="E291" i="1"/>
  <c r="E246" i="1"/>
  <c r="E13" i="1"/>
  <c r="E25" i="1"/>
  <c r="E18" i="1"/>
  <c r="E8" i="1"/>
  <c r="E27" i="1"/>
  <c r="E20" i="1"/>
  <c r="E19" i="1"/>
  <c r="E93" i="1"/>
  <c r="E172" i="1"/>
  <c r="E330" i="1"/>
  <c r="E111" i="1"/>
  <c r="E49" i="2"/>
  <c r="E220" i="1"/>
  <c r="E51" i="2"/>
  <c r="E58" i="1"/>
  <c r="E7" i="1"/>
  <c r="E26" i="1"/>
  <c r="E6" i="1"/>
  <c r="E10" i="1"/>
  <c r="E16" i="1"/>
  <c r="E24" i="1"/>
  <c r="E35" i="8" l="1"/>
  <c r="E33" i="8"/>
  <c r="AH35" i="8"/>
  <c r="AF35" i="8"/>
  <c r="Y35" i="8"/>
  <c r="X35" i="8"/>
  <c r="U35" i="8"/>
  <c r="L35" i="8"/>
  <c r="K35" i="8"/>
  <c r="J35" i="8"/>
  <c r="E18" i="4"/>
  <c r="E50" i="4"/>
  <c r="E28" i="4"/>
  <c r="E30" i="4"/>
  <c r="E52" i="5"/>
  <c r="E71" i="5"/>
  <c r="E78" i="5"/>
  <c r="E79" i="5"/>
  <c r="E73" i="5"/>
  <c r="D73" i="5" s="1"/>
  <c r="E63" i="5"/>
  <c r="E24" i="5"/>
  <c r="E77" i="5"/>
  <c r="D77" i="5"/>
  <c r="E15" i="5"/>
  <c r="E40" i="5"/>
  <c r="E45" i="6"/>
  <c r="E232" i="6"/>
  <c r="E322" i="6"/>
  <c r="N322" i="6"/>
  <c r="I322" i="6"/>
  <c r="M223" i="6"/>
  <c r="N223" i="6"/>
  <c r="P223" i="6" s="1"/>
  <c r="Q223" i="6" s="1"/>
  <c r="D223" i="6" s="1"/>
  <c r="E309" i="6"/>
  <c r="E124" i="6"/>
  <c r="E316" i="6"/>
  <c r="E201" i="6"/>
  <c r="E26" i="6"/>
  <c r="E19" i="6"/>
  <c r="E198" i="6"/>
  <c r="E320" i="6"/>
  <c r="E37" i="5"/>
  <c r="E31" i="5"/>
  <c r="E29" i="5"/>
  <c r="E30" i="5"/>
  <c r="E48" i="5"/>
  <c r="E33" i="5"/>
  <c r="E22" i="5"/>
  <c r="E18" i="5"/>
  <c r="E12" i="5"/>
  <c r="E47" i="5"/>
  <c r="E19" i="5"/>
  <c r="E36" i="5"/>
  <c r="E432" i="3"/>
  <c r="E183" i="3"/>
  <c r="E33" i="3"/>
  <c r="E25" i="3"/>
  <c r="E13" i="3"/>
  <c r="E30" i="3"/>
  <c r="E303" i="3"/>
  <c r="E431" i="3"/>
  <c r="E23" i="3"/>
  <c r="E12" i="3"/>
  <c r="E10" i="3"/>
  <c r="E291" i="3"/>
  <c r="E389" i="3"/>
  <c r="E54" i="3"/>
  <c r="E158" i="3"/>
  <c r="E484" i="3"/>
  <c r="E281" i="3"/>
  <c r="E422" i="3"/>
  <c r="E245" i="3"/>
  <c r="E360" i="3"/>
  <c r="E254" i="3"/>
  <c r="E381" i="3"/>
  <c r="E421" i="3"/>
  <c r="E490" i="3"/>
  <c r="I490" i="3"/>
  <c r="N490" i="3"/>
  <c r="E478" i="3"/>
  <c r="E165" i="3"/>
  <c r="E416" i="3"/>
  <c r="E40" i="3"/>
  <c r="I40" i="3"/>
  <c r="J40" i="3"/>
  <c r="K40" i="3"/>
  <c r="N40" i="3"/>
  <c r="E77" i="3"/>
  <c r="E379" i="3"/>
  <c r="E154" i="3"/>
  <c r="E458" i="3"/>
  <c r="E324" i="3"/>
  <c r="E119" i="3"/>
  <c r="E383" i="3"/>
  <c r="E390" i="3"/>
  <c r="E35" i="3"/>
  <c r="I208" i="3"/>
  <c r="K208" i="3"/>
  <c r="N208" i="3"/>
  <c r="E499" i="3"/>
  <c r="D499" i="3" s="1"/>
  <c r="F457" i="3"/>
  <c r="I457" i="3"/>
  <c r="L457" i="3"/>
  <c r="M457" i="3"/>
  <c r="N457" i="3"/>
  <c r="D495" i="3"/>
  <c r="D491" i="3"/>
  <c r="E223" i="3"/>
  <c r="E368" i="3"/>
  <c r="D482" i="3"/>
  <c r="E497" i="3"/>
  <c r="D497" i="3" s="1"/>
  <c r="D496" i="3"/>
  <c r="E493" i="3"/>
  <c r="D493" i="3" s="1"/>
  <c r="D475" i="3"/>
  <c r="E435" i="3"/>
  <c r="E476" i="3"/>
  <c r="D476" i="3" s="1"/>
  <c r="E494" i="3"/>
  <c r="E481" i="3"/>
  <c r="D481" i="3" s="1"/>
  <c r="D492" i="3"/>
  <c r="E477" i="3"/>
  <c r="D477" i="3" s="1"/>
  <c r="E498" i="3"/>
  <c r="D498" i="3" s="1"/>
  <c r="E488" i="3"/>
  <c r="E489" i="3"/>
  <c r="D489" i="3" s="1"/>
  <c r="D472" i="3"/>
  <c r="D51" i="4"/>
  <c r="E36" i="4"/>
  <c r="E32" i="4"/>
  <c r="E34" i="1"/>
  <c r="E87" i="1"/>
  <c r="E209" i="1"/>
  <c r="E105" i="1"/>
  <c r="E211" i="1"/>
  <c r="E153" i="1"/>
  <c r="E169" i="1"/>
  <c r="E190" i="1"/>
  <c r="E146" i="1"/>
  <c r="E112" i="1"/>
  <c r="E197" i="1"/>
  <c r="E151" i="1"/>
  <c r="E141" i="1"/>
  <c r="E253" i="1"/>
  <c r="E152" i="1"/>
  <c r="E254" i="1"/>
  <c r="E275" i="1"/>
  <c r="E107" i="1"/>
  <c r="E279" i="1"/>
  <c r="E91" i="1"/>
  <c r="E174" i="1"/>
  <c r="E35" i="2"/>
  <c r="E12" i="2"/>
  <c r="E40" i="2"/>
  <c r="E45" i="2"/>
  <c r="E28" i="2"/>
  <c r="E17" i="2"/>
  <c r="E18" i="2"/>
  <c r="E10" i="2"/>
  <c r="E21" i="2"/>
  <c r="E52" i="2"/>
  <c r="D52" i="2" s="1"/>
  <c r="E50" i="2"/>
  <c r="D50" i="2" s="1"/>
  <c r="E53" i="2"/>
  <c r="D49" i="2"/>
  <c r="E48" i="2"/>
  <c r="D48" i="2" s="1"/>
  <c r="E47" i="2"/>
  <c r="E487" i="3"/>
  <c r="D487" i="3" s="1"/>
  <c r="E170" i="3"/>
  <c r="K173" i="3"/>
  <c r="I173" i="3"/>
  <c r="N173" i="3"/>
  <c r="E362" i="3"/>
  <c r="E50" i="3"/>
  <c r="E218" i="3"/>
  <c r="E47" i="3"/>
  <c r="G47" i="3"/>
  <c r="I47" i="3"/>
  <c r="K47" i="3"/>
  <c r="N47" i="3"/>
  <c r="O47" i="3"/>
  <c r="E424" i="3"/>
  <c r="E171" i="3"/>
  <c r="E26" i="3"/>
  <c r="E187" i="3"/>
  <c r="E216" i="3"/>
  <c r="E277" i="3"/>
  <c r="E31" i="3"/>
  <c r="E17" i="3"/>
  <c r="E300" i="3"/>
  <c r="E479" i="3"/>
  <c r="D479" i="3" s="1"/>
  <c r="E22" i="3"/>
  <c r="E7" i="3"/>
  <c r="E312" i="1"/>
  <c r="D312" i="1" s="1"/>
  <c r="E315" i="1"/>
  <c r="E310" i="1"/>
  <c r="E355" i="1"/>
  <c r="E343" i="1"/>
  <c r="D343" i="1" s="1"/>
  <c r="E316" i="1"/>
  <c r="E287" i="1"/>
  <c r="E348" i="1"/>
  <c r="E305" i="1"/>
  <c r="E286" i="1"/>
  <c r="E350" i="1"/>
  <c r="D350" i="1" s="1"/>
  <c r="E298" i="1"/>
  <c r="D298" i="1" s="1"/>
  <c r="E314" i="1"/>
  <c r="E336" i="1"/>
  <c r="D336" i="1" s="1"/>
  <c r="E307" i="1"/>
  <c r="D307" i="1" s="1"/>
  <c r="D303" i="1"/>
  <c r="E313" i="1"/>
  <c r="E306" i="1"/>
  <c r="E323" i="1"/>
  <c r="D323" i="1" s="1"/>
  <c r="E308" i="1"/>
  <c r="E324" i="1"/>
  <c r="D324" i="1" s="1"/>
  <c r="E326" i="1"/>
  <c r="E337" i="1"/>
  <c r="E292" i="1"/>
  <c r="E319" i="1"/>
  <c r="E340" i="1"/>
  <c r="D340" i="1" s="1"/>
  <c r="E354" i="1"/>
  <c r="D354" i="1" s="1"/>
  <c r="E332" i="1"/>
  <c r="E235" i="1"/>
  <c r="E358" i="1"/>
  <c r="E285" i="1"/>
  <c r="D285" i="1" s="1"/>
  <c r="E293" i="1"/>
  <c r="E242" i="1"/>
  <c r="E297" i="1"/>
  <c r="D297" i="1" s="1"/>
  <c r="E165" i="1"/>
  <c r="D330" i="1"/>
  <c r="E21" i="1"/>
  <c r="E40" i="1"/>
  <c r="E30" i="1"/>
  <c r="E171" i="1"/>
  <c r="E29" i="1"/>
  <c r="E11" i="1"/>
  <c r="E9" i="1"/>
  <c r="E28" i="1"/>
  <c r="E12" i="1"/>
  <c r="E133" i="1"/>
  <c r="E109" i="1"/>
  <c r="E22" i="1"/>
  <c r="AK35" i="8" l="1"/>
  <c r="AL35" i="8" s="1"/>
  <c r="Z35" i="8" s="1"/>
  <c r="AB35" i="8" s="1"/>
  <c r="AC35" i="8" s="1"/>
  <c r="O35" i="8" s="1"/>
  <c r="P35" i="8" s="1"/>
  <c r="Q35" i="8" s="1"/>
  <c r="D35" i="8" s="1"/>
  <c r="P322" i="6"/>
  <c r="Q322" i="6" s="1"/>
  <c r="D322" i="6" s="1"/>
  <c r="P457" i="3"/>
  <c r="Q457" i="3" s="1"/>
  <c r="D457" i="3" s="1"/>
  <c r="P490" i="3"/>
  <c r="Q490" i="3" s="1"/>
  <c r="D490" i="3" s="1"/>
  <c r="P208" i="3"/>
  <c r="Q208" i="3" s="1"/>
  <c r="D208" i="3" s="1"/>
  <c r="P40" i="3"/>
  <c r="Q40" i="3" s="1"/>
  <c r="D40" i="3" s="1"/>
  <c r="P173" i="3"/>
  <c r="Q173" i="3" s="1"/>
  <c r="D173" i="3" s="1"/>
  <c r="P47" i="3"/>
  <c r="Q47" i="3" s="1"/>
  <c r="D47" i="3" s="1"/>
  <c r="F29" i="3"/>
  <c r="F34" i="3"/>
  <c r="F136" i="1"/>
  <c r="F452" i="3"/>
  <c r="F309" i="1"/>
  <c r="D309" i="1" s="1"/>
  <c r="F317" i="1"/>
  <c r="D317" i="1" s="1"/>
  <c r="F52" i="5"/>
  <c r="F306" i="1"/>
  <c r="D306" i="1" s="1"/>
  <c r="F294" i="1"/>
  <c r="F320" i="1"/>
  <c r="D320" i="1" s="1"/>
  <c r="F347" i="1"/>
  <c r="D347" i="1" s="1"/>
  <c r="F328" i="1"/>
  <c r="D328" i="1" s="1"/>
  <c r="F25" i="1"/>
  <c r="F18" i="1"/>
  <c r="F33" i="8"/>
  <c r="F127" i="6"/>
  <c r="F31" i="6"/>
  <c r="F45" i="6"/>
  <c r="F316" i="6"/>
  <c r="F314" i="6"/>
  <c r="D314" i="6" s="1"/>
  <c r="F201" i="6"/>
  <c r="F50" i="4"/>
  <c r="D50" i="4" s="1"/>
  <c r="F32" i="4"/>
  <c r="F28" i="4"/>
  <c r="F8" i="3"/>
  <c r="F23" i="3"/>
  <c r="F314" i="3"/>
  <c r="F20" i="3"/>
  <c r="F303" i="3"/>
  <c r="F125" i="3"/>
  <c r="F18" i="3"/>
  <c r="F438" i="3"/>
  <c r="F479" i="3"/>
  <c r="F48" i="5"/>
  <c r="F46" i="5"/>
  <c r="F31" i="5"/>
  <c r="F36" i="5"/>
  <c r="F481" i="3"/>
  <c r="F158" i="3"/>
  <c r="F379" i="3"/>
  <c r="I452" i="3"/>
  <c r="J452" i="3"/>
  <c r="K452" i="3"/>
  <c r="L452" i="3"/>
  <c r="N452" i="3"/>
  <c r="F334" i="3"/>
  <c r="F489" i="3"/>
  <c r="F154" i="3"/>
  <c r="F421" i="3"/>
  <c r="F71" i="5"/>
  <c r="D71" i="5" s="1"/>
  <c r="I72" i="5"/>
  <c r="N72" i="5"/>
  <c r="F37" i="5"/>
  <c r="F29" i="5"/>
  <c r="N356" i="5"/>
  <c r="N355" i="5"/>
  <c r="N353" i="5"/>
  <c r="N351" i="5"/>
  <c r="N350" i="5"/>
  <c r="N349" i="5"/>
  <c r="N348" i="5"/>
  <c r="N347" i="5"/>
  <c r="N346" i="5"/>
  <c r="N345" i="5"/>
  <c r="N344" i="5"/>
  <c r="N343" i="5"/>
  <c r="N342" i="5"/>
  <c r="N341" i="5"/>
  <c r="N340" i="5"/>
  <c r="N339" i="5"/>
  <c r="N338" i="5"/>
  <c r="N337" i="5"/>
  <c r="N336" i="5"/>
  <c r="N334" i="5"/>
  <c r="N333" i="5"/>
  <c r="N332" i="5"/>
  <c r="N331" i="5"/>
  <c r="N330" i="5"/>
  <c r="N329" i="5"/>
  <c r="N328" i="5"/>
  <c r="N327" i="5"/>
  <c r="N326" i="5"/>
  <c r="N325" i="5"/>
  <c r="N324" i="5"/>
  <c r="N323" i="5"/>
  <c r="N322" i="5"/>
  <c r="N321" i="5"/>
  <c r="N320" i="5"/>
  <c r="N319" i="5"/>
  <c r="N318" i="5"/>
  <c r="N316" i="5"/>
  <c r="N315" i="5"/>
  <c r="N314" i="5"/>
  <c r="N313" i="5"/>
  <c r="N312" i="5"/>
  <c r="N311" i="5"/>
  <c r="N310" i="5"/>
  <c r="N309" i="5"/>
  <c r="N308" i="5"/>
  <c r="N307" i="5"/>
  <c r="N305" i="5"/>
  <c r="N304" i="5"/>
  <c r="N303" i="5"/>
  <c r="N302" i="5"/>
  <c r="N301" i="5"/>
  <c r="N300" i="5"/>
  <c r="N299" i="5"/>
  <c r="N298" i="5"/>
  <c r="N295" i="5"/>
  <c r="N294" i="5"/>
  <c r="N293" i="5"/>
  <c r="N291" i="5"/>
  <c r="N290" i="5"/>
  <c r="N289" i="5"/>
  <c r="N288" i="5"/>
  <c r="N286" i="5"/>
  <c r="N284" i="5"/>
  <c r="N283" i="5"/>
  <c r="N282" i="5"/>
  <c r="N280" i="5"/>
  <c r="N279" i="5"/>
  <c r="N278" i="5"/>
  <c r="N276" i="5"/>
  <c r="N274" i="5"/>
  <c r="N273" i="5"/>
  <c r="N272" i="5"/>
  <c r="N270" i="5"/>
  <c r="N269" i="5"/>
  <c r="N267" i="5"/>
  <c r="N266" i="5"/>
  <c r="N264" i="5"/>
  <c r="N263" i="5"/>
  <c r="N262" i="5"/>
  <c r="N261" i="5"/>
  <c r="N260" i="5"/>
  <c r="N259" i="5"/>
  <c r="N258" i="5"/>
  <c r="N257" i="5"/>
  <c r="N256" i="5"/>
  <c r="N255" i="5"/>
  <c r="N254" i="5"/>
  <c r="N253" i="5"/>
  <c r="N252" i="5"/>
  <c r="N251" i="5"/>
  <c r="N250" i="5"/>
  <c r="N249" i="5"/>
  <c r="N248" i="5"/>
  <c r="N247" i="5"/>
  <c r="N246" i="5"/>
  <c r="N245" i="5"/>
  <c r="N243" i="5"/>
  <c r="N242" i="5"/>
  <c r="N241" i="5"/>
  <c r="N240" i="5"/>
  <c r="N239" i="5"/>
  <c r="N238" i="5"/>
  <c r="N237" i="5"/>
  <c r="N236" i="5"/>
  <c r="N235" i="5"/>
  <c r="N234" i="5"/>
  <c r="N233" i="5"/>
  <c r="N232" i="5"/>
  <c r="N229" i="5"/>
  <c r="N228" i="5"/>
  <c r="N227" i="5"/>
  <c r="N226" i="5"/>
  <c r="N225" i="5"/>
  <c r="P225" i="5" s="1"/>
  <c r="Q225" i="5" s="1"/>
  <c r="N224" i="5"/>
  <c r="P224" i="5" s="1"/>
  <c r="Q224" i="5" s="1"/>
  <c r="N223" i="5"/>
  <c r="P223" i="5" s="1"/>
  <c r="Q223" i="5" s="1"/>
  <c r="N222" i="5"/>
  <c r="P222" i="5" s="1"/>
  <c r="Q222" i="5" s="1"/>
  <c r="N221" i="5"/>
  <c r="P221" i="5" s="1"/>
  <c r="Q221" i="5" s="1"/>
  <c r="N220" i="5"/>
  <c r="P220" i="5" s="1"/>
  <c r="Q220" i="5" s="1"/>
  <c r="N219" i="5"/>
  <c r="P219" i="5" s="1"/>
  <c r="Q219" i="5" s="1"/>
  <c r="N218" i="5"/>
  <c r="P218" i="5" s="1"/>
  <c r="Q218" i="5" s="1"/>
  <c r="N217" i="5"/>
  <c r="P217" i="5" s="1"/>
  <c r="Q217" i="5" s="1"/>
  <c r="N216" i="5"/>
  <c r="P216" i="5" s="1"/>
  <c r="Q216" i="5" s="1"/>
  <c r="N215" i="5"/>
  <c r="P215" i="5" s="1"/>
  <c r="Q215" i="5" s="1"/>
  <c r="N214" i="5"/>
  <c r="P214" i="5" s="1"/>
  <c r="Q214" i="5" s="1"/>
  <c r="N213" i="5"/>
  <c r="P213" i="5" s="1"/>
  <c r="Q213" i="5" s="1"/>
  <c r="N212" i="5"/>
  <c r="P212" i="5" s="1"/>
  <c r="Q212" i="5" s="1"/>
  <c r="N211" i="5"/>
  <c r="P211" i="5" s="1"/>
  <c r="Q211" i="5" s="1"/>
  <c r="N210" i="5"/>
  <c r="P210" i="5" s="1"/>
  <c r="Q210" i="5" s="1"/>
  <c r="N209" i="5"/>
  <c r="P209" i="5" s="1"/>
  <c r="Q209" i="5" s="1"/>
  <c r="N208" i="5"/>
  <c r="P208" i="5" s="1"/>
  <c r="Q208" i="5" s="1"/>
  <c r="N207" i="5"/>
  <c r="P207" i="5" s="1"/>
  <c r="Q207" i="5" s="1"/>
  <c r="N206" i="5"/>
  <c r="P206" i="5" s="1"/>
  <c r="Q206" i="5" s="1"/>
  <c r="N205" i="5"/>
  <c r="P205" i="5" s="1"/>
  <c r="Q205" i="5" s="1"/>
  <c r="N204" i="5"/>
  <c r="P204" i="5" s="1"/>
  <c r="Q204" i="5" s="1"/>
  <c r="N203" i="5"/>
  <c r="P203" i="5" s="1"/>
  <c r="Q203" i="5" s="1"/>
  <c r="N202" i="5"/>
  <c r="P202" i="5" s="1"/>
  <c r="Q202" i="5" s="1"/>
  <c r="N201" i="5"/>
  <c r="P201" i="5" s="1"/>
  <c r="Q201" i="5" s="1"/>
  <c r="N200" i="5"/>
  <c r="P200" i="5" s="1"/>
  <c r="Q200" i="5" s="1"/>
  <c r="N199" i="5"/>
  <c r="P199" i="5" s="1"/>
  <c r="Q199" i="5" s="1"/>
  <c r="N198" i="5"/>
  <c r="P198" i="5" s="1"/>
  <c r="Q198" i="5" s="1"/>
  <c r="N197" i="5"/>
  <c r="P197" i="5" s="1"/>
  <c r="Q197" i="5" s="1"/>
  <c r="N196" i="5"/>
  <c r="P196" i="5" s="1"/>
  <c r="Q196" i="5" s="1"/>
  <c r="N195" i="5"/>
  <c r="P195" i="5" s="1"/>
  <c r="Q195" i="5" s="1"/>
  <c r="N194" i="5"/>
  <c r="P194" i="5" s="1"/>
  <c r="Q194" i="5" s="1"/>
  <c r="N193" i="5"/>
  <c r="P193" i="5" s="1"/>
  <c r="Q193" i="5" s="1"/>
  <c r="N192" i="5"/>
  <c r="P192" i="5" s="1"/>
  <c r="Q192" i="5" s="1"/>
  <c r="N191" i="5"/>
  <c r="P191" i="5" s="1"/>
  <c r="Q191" i="5" s="1"/>
  <c r="N190" i="5"/>
  <c r="P190" i="5" s="1"/>
  <c r="Q190" i="5" s="1"/>
  <c r="N189" i="5"/>
  <c r="P189" i="5" s="1"/>
  <c r="Q189" i="5" s="1"/>
  <c r="N188" i="5"/>
  <c r="P188" i="5" s="1"/>
  <c r="Q188" i="5" s="1"/>
  <c r="N187" i="5"/>
  <c r="P187" i="5" s="1"/>
  <c r="Q187" i="5" s="1"/>
  <c r="N186" i="5"/>
  <c r="P186" i="5" s="1"/>
  <c r="Q186" i="5" s="1"/>
  <c r="N185" i="5"/>
  <c r="P185" i="5" s="1"/>
  <c r="Q185" i="5" s="1"/>
  <c r="N184" i="5"/>
  <c r="P184" i="5" s="1"/>
  <c r="Q184" i="5" s="1"/>
  <c r="N183" i="5"/>
  <c r="P183" i="5" s="1"/>
  <c r="Q183" i="5" s="1"/>
  <c r="N182" i="5"/>
  <c r="P182" i="5" s="1"/>
  <c r="Q182" i="5" s="1"/>
  <c r="N181" i="5"/>
  <c r="P181" i="5" s="1"/>
  <c r="Q181" i="5" s="1"/>
  <c r="N180" i="5"/>
  <c r="P180" i="5" s="1"/>
  <c r="Q180" i="5" s="1"/>
  <c r="N179" i="5"/>
  <c r="P179" i="5" s="1"/>
  <c r="Q179" i="5" s="1"/>
  <c r="N178" i="5"/>
  <c r="P178" i="5" s="1"/>
  <c r="Q178" i="5" s="1"/>
  <c r="N177" i="5"/>
  <c r="P177" i="5" s="1"/>
  <c r="Q177" i="5" s="1"/>
  <c r="N176" i="5"/>
  <c r="P176" i="5" s="1"/>
  <c r="Q176" i="5" s="1"/>
  <c r="N175" i="5"/>
  <c r="P175" i="5" s="1"/>
  <c r="Q175" i="5" s="1"/>
  <c r="N174" i="5"/>
  <c r="P174" i="5" s="1"/>
  <c r="Q174" i="5" s="1"/>
  <c r="N173" i="5"/>
  <c r="P173" i="5" s="1"/>
  <c r="Q173" i="5" s="1"/>
  <c r="N172" i="5"/>
  <c r="P172" i="5" s="1"/>
  <c r="Q172" i="5" s="1"/>
  <c r="N171" i="5"/>
  <c r="P171" i="5" s="1"/>
  <c r="Q171" i="5" s="1"/>
  <c r="N170" i="5"/>
  <c r="P170" i="5" s="1"/>
  <c r="Q170" i="5" s="1"/>
  <c r="N169" i="5"/>
  <c r="P169" i="5" s="1"/>
  <c r="Q169" i="5" s="1"/>
  <c r="N168" i="5"/>
  <c r="P168" i="5" s="1"/>
  <c r="Q168" i="5" s="1"/>
  <c r="N167" i="5"/>
  <c r="P167" i="5" s="1"/>
  <c r="Q167" i="5" s="1"/>
  <c r="N166" i="5"/>
  <c r="P166" i="5" s="1"/>
  <c r="Q166" i="5" s="1"/>
  <c r="N165" i="5"/>
  <c r="P165" i="5" s="1"/>
  <c r="Q165" i="5" s="1"/>
  <c r="N164" i="5"/>
  <c r="P164" i="5" s="1"/>
  <c r="Q164" i="5" s="1"/>
  <c r="N163" i="5"/>
  <c r="P163" i="5" s="1"/>
  <c r="Q163" i="5" s="1"/>
  <c r="N162" i="5"/>
  <c r="P162" i="5" s="1"/>
  <c r="Q162" i="5" s="1"/>
  <c r="N161" i="5"/>
  <c r="P161" i="5" s="1"/>
  <c r="Q161" i="5" s="1"/>
  <c r="N160" i="5"/>
  <c r="P160" i="5" s="1"/>
  <c r="Q160" i="5" s="1"/>
  <c r="N159" i="5"/>
  <c r="P159" i="5" s="1"/>
  <c r="Q159" i="5" s="1"/>
  <c r="N158" i="5"/>
  <c r="P158" i="5" s="1"/>
  <c r="Q158" i="5" s="1"/>
  <c r="N157" i="5"/>
  <c r="P157" i="5" s="1"/>
  <c r="Q157" i="5" s="1"/>
  <c r="N156" i="5"/>
  <c r="P156" i="5" s="1"/>
  <c r="Q156" i="5" s="1"/>
  <c r="N155" i="5"/>
  <c r="P155" i="5" s="1"/>
  <c r="Q155" i="5" s="1"/>
  <c r="N154" i="5"/>
  <c r="P154" i="5" s="1"/>
  <c r="Q154" i="5" s="1"/>
  <c r="N153" i="5"/>
  <c r="P153" i="5" s="1"/>
  <c r="Q153" i="5" s="1"/>
  <c r="N152" i="5"/>
  <c r="P152" i="5" s="1"/>
  <c r="Q152" i="5" s="1"/>
  <c r="N151" i="5"/>
  <c r="P151" i="5" s="1"/>
  <c r="Q151" i="5" s="1"/>
  <c r="N150" i="5"/>
  <c r="P150" i="5" s="1"/>
  <c r="Q150" i="5" s="1"/>
  <c r="N149" i="5"/>
  <c r="P149" i="5" s="1"/>
  <c r="Q149" i="5" s="1"/>
  <c r="N148" i="5"/>
  <c r="P148" i="5" s="1"/>
  <c r="Q148" i="5" s="1"/>
  <c r="N147" i="5"/>
  <c r="P147" i="5" s="1"/>
  <c r="Q147" i="5" s="1"/>
  <c r="N146" i="5"/>
  <c r="P146" i="5" s="1"/>
  <c r="Q146" i="5" s="1"/>
  <c r="N145" i="5"/>
  <c r="P145" i="5" s="1"/>
  <c r="Q145" i="5" s="1"/>
  <c r="N144" i="5"/>
  <c r="P144" i="5" s="1"/>
  <c r="Q144" i="5" s="1"/>
  <c r="N143" i="5"/>
  <c r="P143" i="5" s="1"/>
  <c r="Q143" i="5" s="1"/>
  <c r="N142" i="5"/>
  <c r="P142" i="5" s="1"/>
  <c r="Q142" i="5" s="1"/>
  <c r="N141" i="5"/>
  <c r="P141" i="5" s="1"/>
  <c r="Q141" i="5" s="1"/>
  <c r="N140" i="5"/>
  <c r="P140" i="5" s="1"/>
  <c r="Q140" i="5" s="1"/>
  <c r="N139" i="5"/>
  <c r="P139" i="5" s="1"/>
  <c r="Q139" i="5" s="1"/>
  <c r="N138" i="5"/>
  <c r="P138" i="5" s="1"/>
  <c r="Q138" i="5" s="1"/>
  <c r="N137" i="5"/>
  <c r="P137" i="5" s="1"/>
  <c r="Q137" i="5" s="1"/>
  <c r="N136" i="5"/>
  <c r="P136" i="5" s="1"/>
  <c r="Q136" i="5" s="1"/>
  <c r="N135" i="5"/>
  <c r="P135" i="5" s="1"/>
  <c r="Q135" i="5" s="1"/>
  <c r="N134" i="5"/>
  <c r="P134" i="5" s="1"/>
  <c r="Q134" i="5" s="1"/>
  <c r="N133" i="5"/>
  <c r="P133" i="5" s="1"/>
  <c r="Q133" i="5" s="1"/>
  <c r="N132" i="5"/>
  <c r="P132" i="5" s="1"/>
  <c r="Q132" i="5" s="1"/>
  <c r="N131" i="5"/>
  <c r="P131" i="5" s="1"/>
  <c r="Q131" i="5" s="1"/>
  <c r="N130" i="5"/>
  <c r="P130" i="5" s="1"/>
  <c r="Q130" i="5" s="1"/>
  <c r="N129" i="5"/>
  <c r="P129" i="5" s="1"/>
  <c r="Q129" i="5" s="1"/>
  <c r="N128" i="5"/>
  <c r="P128" i="5" s="1"/>
  <c r="Q128" i="5" s="1"/>
  <c r="N127" i="5"/>
  <c r="P127" i="5" s="1"/>
  <c r="Q127" i="5" s="1"/>
  <c r="N126" i="5"/>
  <c r="P126" i="5" s="1"/>
  <c r="Q126" i="5" s="1"/>
  <c r="N125" i="5"/>
  <c r="P125" i="5" s="1"/>
  <c r="Q125" i="5" s="1"/>
  <c r="N124" i="5"/>
  <c r="P124" i="5" s="1"/>
  <c r="Q124" i="5" s="1"/>
  <c r="N123" i="5"/>
  <c r="P123" i="5" s="1"/>
  <c r="Q123" i="5" s="1"/>
  <c r="N122" i="5"/>
  <c r="P122" i="5" s="1"/>
  <c r="Q122" i="5" s="1"/>
  <c r="N121" i="5"/>
  <c r="P121" i="5" s="1"/>
  <c r="Q121" i="5" s="1"/>
  <c r="N120" i="5"/>
  <c r="P120" i="5" s="1"/>
  <c r="Q120" i="5" s="1"/>
  <c r="N119" i="5"/>
  <c r="P119" i="5" s="1"/>
  <c r="Q119" i="5" s="1"/>
  <c r="N118" i="5"/>
  <c r="P118" i="5" s="1"/>
  <c r="Q118" i="5" s="1"/>
  <c r="N117" i="5"/>
  <c r="P117" i="5" s="1"/>
  <c r="Q117" i="5" s="1"/>
  <c r="N116" i="5"/>
  <c r="P116" i="5" s="1"/>
  <c r="Q116" i="5" s="1"/>
  <c r="N115" i="5"/>
  <c r="P115" i="5" s="1"/>
  <c r="Q115" i="5" s="1"/>
  <c r="N114" i="5"/>
  <c r="P114" i="5" s="1"/>
  <c r="Q114" i="5" s="1"/>
  <c r="N113" i="5"/>
  <c r="P113" i="5" s="1"/>
  <c r="Q113" i="5" s="1"/>
  <c r="N112" i="5"/>
  <c r="P112" i="5" s="1"/>
  <c r="Q112" i="5" s="1"/>
  <c r="N111" i="5"/>
  <c r="P111" i="5" s="1"/>
  <c r="Q111" i="5" s="1"/>
  <c r="N110" i="5"/>
  <c r="P110" i="5" s="1"/>
  <c r="Q110" i="5" s="1"/>
  <c r="N109" i="5"/>
  <c r="P109" i="5" s="1"/>
  <c r="Q109" i="5" s="1"/>
  <c r="N108" i="5"/>
  <c r="P108" i="5" s="1"/>
  <c r="Q108" i="5" s="1"/>
  <c r="N107" i="5"/>
  <c r="P107" i="5" s="1"/>
  <c r="Q107" i="5" s="1"/>
  <c r="N106" i="5"/>
  <c r="P106" i="5" s="1"/>
  <c r="Q106" i="5" s="1"/>
  <c r="N105" i="5"/>
  <c r="P105" i="5" s="1"/>
  <c r="Q105" i="5" s="1"/>
  <c r="N104" i="5"/>
  <c r="P104" i="5" s="1"/>
  <c r="Q104" i="5" s="1"/>
  <c r="N103" i="5"/>
  <c r="P103" i="5" s="1"/>
  <c r="Q103" i="5" s="1"/>
  <c r="N102" i="5"/>
  <c r="P102" i="5" s="1"/>
  <c r="Q102" i="5" s="1"/>
  <c r="N101" i="5"/>
  <c r="P101" i="5" s="1"/>
  <c r="Q101" i="5" s="1"/>
  <c r="N100" i="5"/>
  <c r="P100" i="5" s="1"/>
  <c r="Q100" i="5" s="1"/>
  <c r="N99" i="5"/>
  <c r="P99" i="5" s="1"/>
  <c r="Q99" i="5" s="1"/>
  <c r="N98" i="5"/>
  <c r="P98" i="5" s="1"/>
  <c r="Q98" i="5" s="1"/>
  <c r="N97" i="5"/>
  <c r="P97" i="5" s="1"/>
  <c r="Q97" i="5" s="1"/>
  <c r="N96" i="5"/>
  <c r="P96" i="5" s="1"/>
  <c r="Q96" i="5" s="1"/>
  <c r="N95" i="5"/>
  <c r="P95" i="5" s="1"/>
  <c r="Q95" i="5" s="1"/>
  <c r="N94" i="5"/>
  <c r="P94" i="5" s="1"/>
  <c r="Q94" i="5" s="1"/>
  <c r="N93" i="5"/>
  <c r="P93" i="5" s="1"/>
  <c r="Q93" i="5" s="1"/>
  <c r="N92" i="5"/>
  <c r="P92" i="5" s="1"/>
  <c r="Q92" i="5" s="1"/>
  <c r="N91" i="5"/>
  <c r="P91" i="5" s="1"/>
  <c r="Q91" i="5" s="1"/>
  <c r="N90" i="5"/>
  <c r="P90" i="5" s="1"/>
  <c r="Q90" i="5" s="1"/>
  <c r="N89" i="5"/>
  <c r="P89" i="5" s="1"/>
  <c r="Q89" i="5" s="1"/>
  <c r="N88" i="5"/>
  <c r="P88" i="5" s="1"/>
  <c r="Q88" i="5" s="1"/>
  <c r="N87" i="5"/>
  <c r="P87" i="5" s="1"/>
  <c r="Q87" i="5" s="1"/>
  <c r="N86" i="5"/>
  <c r="P86" i="5" s="1"/>
  <c r="Q86" i="5" s="1"/>
  <c r="N85" i="5"/>
  <c r="P85" i="5" s="1"/>
  <c r="Q85" i="5" s="1"/>
  <c r="N84" i="5"/>
  <c r="P84" i="5" s="1"/>
  <c r="Q84" i="5" s="1"/>
  <c r="N83" i="5"/>
  <c r="N45" i="5"/>
  <c r="N82" i="5"/>
  <c r="N80" i="5"/>
  <c r="N79" i="5"/>
  <c r="P79" i="5" s="1"/>
  <c r="Q79" i="5" s="1"/>
  <c r="D79" i="5" s="1"/>
  <c r="N78" i="5"/>
  <c r="N76" i="5"/>
  <c r="N75" i="5"/>
  <c r="N74" i="5"/>
  <c r="N70" i="5"/>
  <c r="N69" i="5"/>
  <c r="N68" i="5"/>
  <c r="P68" i="5" s="1"/>
  <c r="Q68" i="5" s="1"/>
  <c r="D68" i="5" s="1"/>
  <c r="N67" i="5"/>
  <c r="N66" i="5"/>
  <c r="N65" i="5"/>
  <c r="N28" i="5"/>
  <c r="N64" i="5"/>
  <c r="N63" i="5"/>
  <c r="P63" i="5" s="1"/>
  <c r="Q63" i="5" s="1"/>
  <c r="D63" i="5" s="1"/>
  <c r="N62" i="5"/>
  <c r="N61" i="5"/>
  <c r="N60" i="5"/>
  <c r="N59" i="5"/>
  <c r="P59" i="5" s="1"/>
  <c r="Q59" i="5" s="1"/>
  <c r="D59" i="5" s="1"/>
  <c r="N58" i="5"/>
  <c r="N57" i="5"/>
  <c r="N56" i="5"/>
  <c r="N55" i="5"/>
  <c r="N54" i="5"/>
  <c r="P54" i="5" s="1"/>
  <c r="Q54" i="5" s="1"/>
  <c r="N53" i="5"/>
  <c r="N13" i="5"/>
  <c r="N52" i="5"/>
  <c r="P52" i="5" s="1"/>
  <c r="Q52" i="5" s="1"/>
  <c r="N51" i="5"/>
  <c r="P51" i="5" s="1"/>
  <c r="Q51" i="5" s="1"/>
  <c r="D51" i="5" s="1"/>
  <c r="N50" i="5"/>
  <c r="P50" i="5" s="1"/>
  <c r="Q50" i="5" s="1"/>
  <c r="D50" i="5" s="1"/>
  <c r="N81" i="5"/>
  <c r="N48" i="5"/>
  <c r="N43" i="5"/>
  <c r="N37" i="5"/>
  <c r="P37" i="5" s="1"/>
  <c r="Q37" i="5" s="1"/>
  <c r="D37" i="5" s="1"/>
  <c r="N36" i="5"/>
  <c r="N35" i="5"/>
  <c r="N33" i="5"/>
  <c r="N30" i="5"/>
  <c r="N29" i="5"/>
  <c r="N26" i="5"/>
  <c r="N24" i="5"/>
  <c r="N22" i="5"/>
  <c r="N19" i="5"/>
  <c r="N18" i="5"/>
  <c r="N17" i="5"/>
  <c r="N15" i="5"/>
  <c r="P356" i="5"/>
  <c r="Q356" i="5" s="1"/>
  <c r="P355" i="5"/>
  <c r="Q355" i="5" s="1"/>
  <c r="P353" i="5"/>
  <c r="Q353" i="5" s="1"/>
  <c r="P351" i="5"/>
  <c r="Q351" i="5" s="1"/>
  <c r="P350" i="5"/>
  <c r="Q350" i="5" s="1"/>
  <c r="P349" i="5"/>
  <c r="Q349" i="5" s="1"/>
  <c r="P348" i="5"/>
  <c r="Q348" i="5" s="1"/>
  <c r="P347" i="5"/>
  <c r="Q347" i="5" s="1"/>
  <c r="P346" i="5"/>
  <c r="Q346" i="5" s="1"/>
  <c r="P345" i="5"/>
  <c r="Q345" i="5" s="1"/>
  <c r="P344" i="5"/>
  <c r="Q344" i="5" s="1"/>
  <c r="P343" i="5"/>
  <c r="Q343" i="5" s="1"/>
  <c r="P342" i="5"/>
  <c r="Q342" i="5" s="1"/>
  <c r="P341" i="5"/>
  <c r="Q341" i="5" s="1"/>
  <c r="P340" i="5"/>
  <c r="Q340" i="5" s="1"/>
  <c r="P339" i="5"/>
  <c r="Q339" i="5" s="1"/>
  <c r="P338" i="5"/>
  <c r="Q338" i="5" s="1"/>
  <c r="P337" i="5"/>
  <c r="Q337" i="5" s="1"/>
  <c r="P336" i="5"/>
  <c r="Q336" i="5" s="1"/>
  <c r="P334" i="5"/>
  <c r="Q334" i="5" s="1"/>
  <c r="P333" i="5"/>
  <c r="Q333" i="5" s="1"/>
  <c r="P332" i="5"/>
  <c r="Q332" i="5" s="1"/>
  <c r="P331" i="5"/>
  <c r="Q331" i="5" s="1"/>
  <c r="P330" i="5"/>
  <c r="Q330" i="5" s="1"/>
  <c r="P329" i="5"/>
  <c r="Q329" i="5" s="1"/>
  <c r="P328" i="5"/>
  <c r="Q328" i="5" s="1"/>
  <c r="P327" i="5"/>
  <c r="Q327" i="5" s="1"/>
  <c r="P326" i="5"/>
  <c r="Q326" i="5" s="1"/>
  <c r="P325" i="5"/>
  <c r="Q325" i="5" s="1"/>
  <c r="P324" i="5"/>
  <c r="Q324" i="5" s="1"/>
  <c r="P323" i="5"/>
  <c r="Q323" i="5" s="1"/>
  <c r="P322" i="5"/>
  <c r="Q322" i="5" s="1"/>
  <c r="P321" i="5"/>
  <c r="Q321" i="5" s="1"/>
  <c r="P320" i="5"/>
  <c r="Q320" i="5" s="1"/>
  <c r="P319" i="5"/>
  <c r="Q319" i="5" s="1"/>
  <c r="P318" i="5"/>
  <c r="Q318" i="5" s="1"/>
  <c r="P316" i="5"/>
  <c r="Q316" i="5" s="1"/>
  <c r="P315" i="5"/>
  <c r="Q315" i="5" s="1"/>
  <c r="P314" i="5"/>
  <c r="Q314" i="5" s="1"/>
  <c r="P313" i="5"/>
  <c r="Q313" i="5" s="1"/>
  <c r="P312" i="5"/>
  <c r="Q312" i="5" s="1"/>
  <c r="P311" i="5"/>
  <c r="Q311" i="5" s="1"/>
  <c r="P310" i="5"/>
  <c r="Q310" i="5" s="1"/>
  <c r="P309" i="5"/>
  <c r="Q309" i="5" s="1"/>
  <c r="P308" i="5"/>
  <c r="Q308" i="5" s="1"/>
  <c r="P307" i="5"/>
  <c r="Q307" i="5" s="1"/>
  <c r="P305" i="5"/>
  <c r="Q305" i="5" s="1"/>
  <c r="P304" i="5"/>
  <c r="Q304" i="5" s="1"/>
  <c r="P303" i="5"/>
  <c r="Q303" i="5" s="1"/>
  <c r="P302" i="5"/>
  <c r="Q302" i="5" s="1"/>
  <c r="P301" i="5"/>
  <c r="Q301" i="5" s="1"/>
  <c r="P300" i="5"/>
  <c r="Q300" i="5" s="1"/>
  <c r="P299" i="5"/>
  <c r="Q299" i="5" s="1"/>
  <c r="P298" i="5"/>
  <c r="Q298" i="5" s="1"/>
  <c r="P295" i="5"/>
  <c r="Q295" i="5" s="1"/>
  <c r="P294" i="5"/>
  <c r="Q294" i="5" s="1"/>
  <c r="P293" i="5"/>
  <c r="Q293" i="5" s="1"/>
  <c r="P291" i="5"/>
  <c r="Q291" i="5" s="1"/>
  <c r="P290" i="5"/>
  <c r="Q290" i="5" s="1"/>
  <c r="P289" i="5"/>
  <c r="Q289" i="5" s="1"/>
  <c r="P288" i="5"/>
  <c r="Q288" i="5" s="1"/>
  <c r="P286" i="5"/>
  <c r="Q286" i="5" s="1"/>
  <c r="P284" i="5"/>
  <c r="Q284" i="5" s="1"/>
  <c r="P283" i="5"/>
  <c r="Q283" i="5" s="1"/>
  <c r="P282" i="5"/>
  <c r="Q282" i="5" s="1"/>
  <c r="P280" i="5"/>
  <c r="Q280" i="5" s="1"/>
  <c r="P279" i="5"/>
  <c r="Q279" i="5" s="1"/>
  <c r="P278" i="5"/>
  <c r="Q278" i="5" s="1"/>
  <c r="P276" i="5"/>
  <c r="Q276" i="5" s="1"/>
  <c r="P274" i="5"/>
  <c r="Q274" i="5" s="1"/>
  <c r="P273" i="5"/>
  <c r="Q273" i="5" s="1"/>
  <c r="P272" i="5"/>
  <c r="Q272" i="5" s="1"/>
  <c r="P270" i="5"/>
  <c r="Q270" i="5" s="1"/>
  <c r="P269" i="5"/>
  <c r="Q269" i="5" s="1"/>
  <c r="P267" i="5"/>
  <c r="Q267" i="5" s="1"/>
  <c r="P266" i="5"/>
  <c r="Q266" i="5" s="1"/>
  <c r="P264" i="5"/>
  <c r="Q264" i="5" s="1"/>
  <c r="P263" i="5"/>
  <c r="Q263" i="5" s="1"/>
  <c r="P262" i="5"/>
  <c r="Q262" i="5" s="1"/>
  <c r="P261" i="5"/>
  <c r="Q261" i="5" s="1"/>
  <c r="P260" i="5"/>
  <c r="Q260" i="5" s="1"/>
  <c r="P259" i="5"/>
  <c r="Q259" i="5" s="1"/>
  <c r="P258" i="5"/>
  <c r="Q258" i="5" s="1"/>
  <c r="P257" i="5"/>
  <c r="Q257" i="5" s="1"/>
  <c r="P256" i="5"/>
  <c r="Q256" i="5" s="1"/>
  <c r="P255" i="5"/>
  <c r="Q255" i="5" s="1"/>
  <c r="P254" i="5"/>
  <c r="Q254" i="5" s="1"/>
  <c r="P253" i="5"/>
  <c r="Q253" i="5" s="1"/>
  <c r="P252" i="5"/>
  <c r="Q252" i="5" s="1"/>
  <c r="P251" i="5"/>
  <c r="Q251" i="5" s="1"/>
  <c r="P250" i="5"/>
  <c r="Q250" i="5" s="1"/>
  <c r="P249" i="5"/>
  <c r="Q249" i="5" s="1"/>
  <c r="P248" i="5"/>
  <c r="Q248" i="5" s="1"/>
  <c r="P247" i="5"/>
  <c r="Q247" i="5" s="1"/>
  <c r="P246" i="5"/>
  <c r="Q246" i="5" s="1"/>
  <c r="P245" i="5"/>
  <c r="Q245" i="5" s="1"/>
  <c r="P243" i="5"/>
  <c r="Q243" i="5" s="1"/>
  <c r="P242" i="5"/>
  <c r="Q242" i="5" s="1"/>
  <c r="P241" i="5"/>
  <c r="Q241" i="5" s="1"/>
  <c r="P240" i="5"/>
  <c r="Q240" i="5" s="1"/>
  <c r="P239" i="5"/>
  <c r="Q239" i="5" s="1"/>
  <c r="P238" i="5"/>
  <c r="Q238" i="5" s="1"/>
  <c r="P237" i="5"/>
  <c r="Q237" i="5" s="1"/>
  <c r="P236" i="5"/>
  <c r="Q236" i="5" s="1"/>
  <c r="P235" i="5"/>
  <c r="Q235" i="5" s="1"/>
  <c r="P234" i="5"/>
  <c r="Q234" i="5" s="1"/>
  <c r="P233" i="5"/>
  <c r="Q233" i="5" s="1"/>
  <c r="P232" i="5"/>
  <c r="Q232" i="5" s="1"/>
  <c r="P229" i="5"/>
  <c r="Q229" i="5" s="1"/>
  <c r="P228" i="5"/>
  <c r="Q228" i="5" s="1"/>
  <c r="P227" i="5"/>
  <c r="Q227" i="5" s="1"/>
  <c r="P226" i="5"/>
  <c r="Q226" i="5" s="1"/>
  <c r="F30" i="5"/>
  <c r="F12" i="5"/>
  <c r="F22" i="5"/>
  <c r="F18" i="5"/>
  <c r="F47" i="5"/>
  <c r="F42" i="5"/>
  <c r="F54" i="5"/>
  <c r="F79" i="5"/>
  <c r="F63" i="5"/>
  <c r="F24" i="5"/>
  <c r="F74" i="5"/>
  <c r="F211" i="1"/>
  <c r="F87" i="1"/>
  <c r="F35" i="2"/>
  <c r="F245" i="1"/>
  <c r="F12" i="1"/>
  <c r="F220" i="1"/>
  <c r="F246" i="1"/>
  <c r="F13" i="1"/>
  <c r="F357" i="1"/>
  <c r="D357" i="1" s="1"/>
  <c r="F310" i="1"/>
  <c r="D310" i="1" s="1"/>
  <c r="F333" i="1"/>
  <c r="D333" i="1" s="1"/>
  <c r="F321" i="1"/>
  <c r="D321" i="1" s="1"/>
  <c r="F313" i="1"/>
  <c r="D313" i="1" s="1"/>
  <c r="F287" i="1"/>
  <c r="D287" i="1" s="1"/>
  <c r="F341" i="1"/>
  <c r="F327" i="1"/>
  <c r="D327" i="1" s="1"/>
  <c r="F326" i="1"/>
  <c r="D326" i="1" s="1"/>
  <c r="F337" i="1"/>
  <c r="D337" i="1" s="1"/>
  <c r="F358" i="1"/>
  <c r="D358" i="1" s="1"/>
  <c r="F286" i="1"/>
  <c r="D286" i="1" s="1"/>
  <c r="F293" i="1"/>
  <c r="D293" i="1" s="1"/>
  <c r="F314" i="1"/>
  <c r="D314" i="1" s="1"/>
  <c r="G280" i="8"/>
  <c r="G222" i="8"/>
  <c r="G304" i="6"/>
  <c r="G242" i="6"/>
  <c r="G280" i="4"/>
  <c r="G222" i="4"/>
  <c r="G324" i="3"/>
  <c r="G259" i="3"/>
  <c r="G283" i="2"/>
  <c r="G225" i="2"/>
  <c r="G286" i="5"/>
  <c r="G228" i="5"/>
  <c r="G168" i="1"/>
  <c r="I6" i="1"/>
  <c r="I7" i="1"/>
  <c r="I9" i="1"/>
  <c r="I10" i="1"/>
  <c r="I11" i="1"/>
  <c r="I16" i="1"/>
  <c r="I18" i="1"/>
  <c r="I19" i="1"/>
  <c r="I20" i="1"/>
  <c r="I21" i="1"/>
  <c r="I22" i="1"/>
  <c r="I24" i="1"/>
  <c r="I26" i="1"/>
  <c r="I27" i="1"/>
  <c r="I29" i="1"/>
  <c r="I34" i="1"/>
  <c r="I40" i="1"/>
  <c r="I8" i="1"/>
  <c r="I74" i="1"/>
  <c r="I80" i="1"/>
  <c r="I90" i="1"/>
  <c r="I91" i="1"/>
  <c r="I107" i="1"/>
  <c r="I109" i="1"/>
  <c r="I12" i="1"/>
  <c r="I13" i="1"/>
  <c r="I133" i="1"/>
  <c r="I146" i="1"/>
  <c r="I151" i="1"/>
  <c r="I152" i="1"/>
  <c r="I153" i="1"/>
  <c r="I162" i="1"/>
  <c r="I171" i="1"/>
  <c r="I174" i="1"/>
  <c r="I190" i="1"/>
  <c r="I197" i="1"/>
  <c r="I25" i="1"/>
  <c r="I254" i="1"/>
  <c r="I275" i="1"/>
  <c r="I279" i="1"/>
  <c r="I284" i="1"/>
  <c r="I51" i="1"/>
  <c r="I290" i="1"/>
  <c r="I291" i="1"/>
  <c r="I292" i="1"/>
  <c r="I75" i="1"/>
  <c r="I294" i="1"/>
  <c r="I295" i="1"/>
  <c r="I296" i="1"/>
  <c r="I104" i="1"/>
  <c r="I299" i="1"/>
  <c r="I300" i="1"/>
  <c r="I301" i="1"/>
  <c r="I302" i="1"/>
  <c r="I116" i="1"/>
  <c r="I304" i="1"/>
  <c r="I305" i="1"/>
  <c r="I308" i="1"/>
  <c r="I311" i="1"/>
  <c r="I136" i="1"/>
  <c r="I315" i="1"/>
  <c r="I316" i="1"/>
  <c r="I318" i="1"/>
  <c r="I319" i="1"/>
  <c r="I322" i="1"/>
  <c r="I325" i="1"/>
  <c r="I165" i="1"/>
  <c r="I329" i="1"/>
  <c r="I331" i="1"/>
  <c r="I332" i="1"/>
  <c r="I334" i="1"/>
  <c r="I335" i="1"/>
  <c r="I338" i="1"/>
  <c r="I215" i="1"/>
  <c r="I341" i="1"/>
  <c r="I342" i="1"/>
  <c r="I344" i="1"/>
  <c r="I235" i="1"/>
  <c r="I242" i="1"/>
  <c r="I345" i="1"/>
  <c r="I346" i="1"/>
  <c r="I348" i="1"/>
  <c r="I349" i="1"/>
  <c r="I352" i="1"/>
  <c r="I355" i="1"/>
  <c r="I356" i="1"/>
  <c r="I278" i="1"/>
  <c r="I359" i="1"/>
  <c r="P72" i="5" l="1"/>
  <c r="Q72" i="5" s="1"/>
  <c r="D72" i="5" s="1"/>
  <c r="D52" i="5"/>
  <c r="D54" i="5"/>
  <c r="P452" i="3"/>
  <c r="Q452" i="3" s="1"/>
  <c r="D452" i="3" s="1"/>
  <c r="N13" i="8"/>
  <c r="N15" i="8"/>
  <c r="N18" i="8"/>
  <c r="N19" i="8"/>
  <c r="N24" i="8"/>
  <c r="N75" i="6"/>
  <c r="N37" i="6"/>
  <c r="N46" i="6"/>
  <c r="N78" i="6"/>
  <c r="N315" i="6"/>
  <c r="N316" i="6"/>
  <c r="N131" i="6"/>
  <c r="P131" i="6" s="1"/>
  <c r="Q131" i="6" s="1"/>
  <c r="D131" i="6" s="1"/>
  <c r="N156" i="6"/>
  <c r="N162" i="6"/>
  <c r="N317" i="6"/>
  <c r="N164" i="6"/>
  <c r="P164" i="6" s="1"/>
  <c r="Q164" i="6" s="1"/>
  <c r="D164" i="6" s="1"/>
  <c r="N168" i="6"/>
  <c r="P168" i="6" s="1"/>
  <c r="Q168" i="6" s="1"/>
  <c r="D168" i="6" s="1"/>
  <c r="N196" i="6"/>
  <c r="N319" i="6"/>
  <c r="N205" i="6"/>
  <c r="N321" i="6"/>
  <c r="N229" i="6"/>
  <c r="P229" i="6" s="1"/>
  <c r="Q229" i="6" s="1"/>
  <c r="D229" i="6" s="1"/>
  <c r="N309" i="6"/>
  <c r="N7" i="4"/>
  <c r="P7" i="4" s="1"/>
  <c r="Q7" i="4" s="1"/>
  <c r="N48" i="4"/>
  <c r="P48" i="4" s="1"/>
  <c r="Q48" i="4" s="1"/>
  <c r="N49" i="4"/>
  <c r="N14" i="4"/>
  <c r="N15" i="4"/>
  <c r="N20" i="4"/>
  <c r="N33" i="4"/>
  <c r="N39" i="4"/>
  <c r="N35" i="4"/>
  <c r="K210" i="1"/>
  <c r="S210" i="1"/>
  <c r="AJ210" i="1"/>
  <c r="AK210" i="1" s="1"/>
  <c r="Y210" i="1" s="1"/>
  <c r="N124" i="3"/>
  <c r="N219" i="3"/>
  <c r="N337" i="3"/>
  <c r="N441" i="3"/>
  <c r="N469" i="3"/>
  <c r="N442" i="3"/>
  <c r="N435" i="3"/>
  <c r="N397" i="3"/>
  <c r="N393" i="3"/>
  <c r="N387" i="3"/>
  <c r="N369" i="3"/>
  <c r="N361" i="3"/>
  <c r="N331" i="3"/>
  <c r="N321" i="3"/>
  <c r="N488" i="3"/>
  <c r="N286" i="3"/>
  <c r="N285" i="3"/>
  <c r="N239" i="3"/>
  <c r="N224" i="3"/>
  <c r="N171" i="3"/>
  <c r="N135" i="3"/>
  <c r="N80" i="3"/>
  <c r="N473" i="3"/>
  <c r="N42" i="3"/>
  <c r="N474" i="3"/>
  <c r="N49" i="3"/>
  <c r="N57" i="3"/>
  <c r="N58" i="3"/>
  <c r="N63" i="3"/>
  <c r="P63" i="3" s="1"/>
  <c r="Q63" i="3" s="1"/>
  <c r="D63" i="3" s="1"/>
  <c r="N71" i="3"/>
  <c r="N82" i="3"/>
  <c r="N99" i="3"/>
  <c r="N101" i="3"/>
  <c r="N478" i="3"/>
  <c r="N133" i="3"/>
  <c r="N148" i="3"/>
  <c r="P148" i="3" s="1"/>
  <c r="Q148" i="3" s="1"/>
  <c r="D148" i="3" s="1"/>
  <c r="N480" i="3"/>
  <c r="N159" i="3"/>
  <c r="P159" i="3" s="1"/>
  <c r="Q159" i="3" s="1"/>
  <c r="D159" i="3" s="1"/>
  <c r="N162" i="3"/>
  <c r="N166" i="3"/>
  <c r="N180" i="3"/>
  <c r="N483" i="3"/>
  <c r="N193" i="3"/>
  <c r="N194" i="3"/>
  <c r="N202" i="3"/>
  <c r="N484" i="3"/>
  <c r="N216" i="3"/>
  <c r="N221" i="3"/>
  <c r="P221" i="3" s="1"/>
  <c r="Q221" i="3" s="1"/>
  <c r="D221" i="3" s="1"/>
  <c r="N223" i="3"/>
  <c r="N485" i="3"/>
  <c r="N486" i="3"/>
  <c r="N240" i="3"/>
  <c r="P240" i="3" s="1"/>
  <c r="Q240" i="3" s="1"/>
  <c r="D240" i="3" s="1"/>
  <c r="N245" i="3"/>
  <c r="N246" i="3"/>
  <c r="N255" i="3"/>
  <c r="P255" i="3" s="1"/>
  <c r="Q255" i="3" s="1"/>
  <c r="D255" i="3" s="1"/>
  <c r="N256" i="3"/>
  <c r="N257" i="3"/>
  <c r="N233" i="3"/>
  <c r="N262" i="3"/>
  <c r="N263" i="3"/>
  <c r="N276" i="3"/>
  <c r="N279" i="3"/>
  <c r="N327" i="3"/>
  <c r="N334" i="3"/>
  <c r="N344" i="3"/>
  <c r="N351" i="3"/>
  <c r="N364" i="3"/>
  <c r="P364" i="3" s="1"/>
  <c r="Q364" i="3" s="1"/>
  <c r="D364" i="3" s="1"/>
  <c r="N368" i="3"/>
  <c r="N380" i="3"/>
  <c r="N494" i="3"/>
  <c r="N392" i="3"/>
  <c r="N398" i="3"/>
  <c r="N399" i="3"/>
  <c r="N402" i="3"/>
  <c r="N408" i="3"/>
  <c r="N413" i="3"/>
  <c r="P413" i="3" s="1"/>
  <c r="Q413" i="3" s="1"/>
  <c r="D413" i="3" s="1"/>
  <c r="N421" i="3"/>
  <c r="N427" i="3"/>
  <c r="N431" i="3"/>
  <c r="N464" i="3"/>
  <c r="N468" i="3"/>
  <c r="N11" i="2"/>
  <c r="N25" i="2"/>
  <c r="N29" i="2"/>
  <c r="N37" i="2"/>
  <c r="N47" i="2"/>
  <c r="N16" i="2"/>
  <c r="N24" i="2"/>
  <c r="N51" i="2"/>
  <c r="N53" i="2"/>
  <c r="N39" i="2"/>
  <c r="N41" i="2"/>
  <c r="M86" i="1"/>
  <c r="M87" i="1"/>
  <c r="M13" i="1"/>
  <c r="M246" i="1"/>
  <c r="N58" i="1"/>
  <c r="N13" i="1"/>
  <c r="N44" i="1"/>
  <c r="N284" i="1"/>
  <c r="N49" i="1"/>
  <c r="N50" i="1"/>
  <c r="N51" i="1"/>
  <c r="N60" i="1"/>
  <c r="N288" i="1"/>
  <c r="N289" i="1"/>
  <c r="P289" i="1" s="1"/>
  <c r="Q289" i="1" s="1"/>
  <c r="D289" i="1" s="1"/>
  <c r="N63" i="1"/>
  <c r="N64" i="1"/>
  <c r="N290" i="1"/>
  <c r="N291" i="1"/>
  <c r="N71" i="1"/>
  <c r="N292" i="1"/>
  <c r="N75" i="1"/>
  <c r="N76" i="1"/>
  <c r="N294" i="1"/>
  <c r="N295" i="1"/>
  <c r="N296" i="1"/>
  <c r="N79" i="1"/>
  <c r="N83" i="1"/>
  <c r="N89" i="1"/>
  <c r="N96" i="1"/>
  <c r="N101" i="1"/>
  <c r="N102" i="1"/>
  <c r="N104" i="1"/>
  <c r="N299" i="1"/>
  <c r="N300" i="1"/>
  <c r="N301" i="1"/>
  <c r="N302" i="1"/>
  <c r="N116" i="1"/>
  <c r="N304" i="1"/>
  <c r="N305" i="1"/>
  <c r="N123" i="1"/>
  <c r="N125" i="1"/>
  <c r="N308" i="1"/>
  <c r="N128" i="1"/>
  <c r="N129" i="1"/>
  <c r="N311" i="1"/>
  <c r="P311" i="1" s="1"/>
  <c r="Q311" i="1" s="1"/>
  <c r="D311" i="1" s="1"/>
  <c r="N136" i="1"/>
  <c r="N138" i="1"/>
  <c r="N315" i="1"/>
  <c r="N316" i="1"/>
  <c r="N141" i="1"/>
  <c r="N144" i="1"/>
  <c r="N318" i="1"/>
  <c r="N319" i="1"/>
  <c r="N148" i="1"/>
  <c r="P148" i="1" s="1"/>
  <c r="Q148" i="1" s="1"/>
  <c r="D148" i="1" s="1"/>
  <c r="N154" i="1"/>
  <c r="N158" i="1"/>
  <c r="N322" i="1"/>
  <c r="P322" i="1" s="1"/>
  <c r="Q322" i="1" s="1"/>
  <c r="D322" i="1" s="1"/>
  <c r="N325" i="1"/>
  <c r="N165" i="1"/>
  <c r="N168" i="1"/>
  <c r="N170" i="1"/>
  <c r="N175" i="1"/>
  <c r="N329" i="1"/>
  <c r="N179" i="1"/>
  <c r="N180" i="1"/>
  <c r="N183" i="1"/>
  <c r="N185" i="1"/>
  <c r="N331" i="1"/>
  <c r="N332" i="1"/>
  <c r="N199" i="1"/>
  <c r="N200" i="1"/>
  <c r="N334" i="1"/>
  <c r="N205" i="1"/>
  <c r="N206" i="1"/>
  <c r="N335" i="1"/>
  <c r="N208" i="1"/>
  <c r="N209" i="1"/>
  <c r="N338" i="1"/>
  <c r="N215" i="1"/>
  <c r="N218" i="1"/>
  <c r="N339" i="1"/>
  <c r="N225" i="1"/>
  <c r="P225" i="1" s="1"/>
  <c r="Q225" i="1" s="1"/>
  <c r="D225" i="1" s="1"/>
  <c r="N226" i="1"/>
  <c r="N341" i="1"/>
  <c r="N230" i="1"/>
  <c r="N342" i="1"/>
  <c r="N344" i="1"/>
  <c r="N235" i="1"/>
  <c r="N239" i="1"/>
  <c r="N242" i="1"/>
  <c r="N345" i="1"/>
  <c r="N346" i="1"/>
  <c r="N243" i="1"/>
  <c r="N244" i="1"/>
  <c r="N348" i="1"/>
  <c r="N349" i="1"/>
  <c r="N250" i="1"/>
  <c r="N351" i="1"/>
  <c r="N352" i="1"/>
  <c r="N256" i="1"/>
  <c r="N258" i="1"/>
  <c r="N259" i="1"/>
  <c r="N260" i="1"/>
  <c r="N353" i="1"/>
  <c r="N267" i="1"/>
  <c r="N268" i="1"/>
  <c r="N271" i="1"/>
  <c r="N355" i="1"/>
  <c r="N356" i="1"/>
  <c r="N278" i="1"/>
  <c r="N281" i="1"/>
  <c r="N359" i="1"/>
  <c r="P359" i="1" s="1"/>
  <c r="Q359" i="1" s="1"/>
  <c r="D359" i="1" s="1"/>
  <c r="L13" i="8"/>
  <c r="AS33" i="8"/>
  <c r="AP33" i="8"/>
  <c r="AF33" i="8"/>
  <c r="AE33" i="8"/>
  <c r="I33" i="8"/>
  <c r="AH32" i="8"/>
  <c r="AF32" i="8"/>
  <c r="X32" i="8"/>
  <c r="W32" i="8"/>
  <c r="AM28" i="8"/>
  <c r="AU28" i="8" s="1"/>
  <c r="AV28" i="8" s="1"/>
  <c r="AH28" i="8" s="1"/>
  <c r="AF28" i="8"/>
  <c r="AS26" i="8"/>
  <c r="AN26" i="8"/>
  <c r="AN25" i="8"/>
  <c r="AU25" i="8" s="1"/>
  <c r="AV25" i="8" s="1"/>
  <c r="AH25" i="8" s="1"/>
  <c r="AJ25" i="8" s="1"/>
  <c r="AK25" i="8" s="1"/>
  <c r="Y25" i="8" s="1"/>
  <c r="AA25" i="8" s="1"/>
  <c r="AB25" i="8" s="1"/>
  <c r="N25" i="8" s="1"/>
  <c r="P25" i="8" s="1"/>
  <c r="Q25" i="8" s="1"/>
  <c r="D25" i="8" s="1"/>
  <c r="AN23" i="8"/>
  <c r="AU23" i="8" s="1"/>
  <c r="AV23" i="8" s="1"/>
  <c r="AH23" i="8" s="1"/>
  <c r="AJ23" i="8" s="1"/>
  <c r="AK23" i="8" s="1"/>
  <c r="Y23" i="8" s="1"/>
  <c r="AA23" i="8" s="1"/>
  <c r="AB23" i="8" s="1"/>
  <c r="N23" i="8" s="1"/>
  <c r="P23" i="8" s="1"/>
  <c r="Q23" i="8" s="1"/>
  <c r="D23" i="8" s="1"/>
  <c r="AP14" i="8"/>
  <c r="AU14" i="8" s="1"/>
  <c r="AV14" i="8" s="1"/>
  <c r="AH14" i="8" s="1"/>
  <c r="AJ14" i="8" s="1"/>
  <c r="AK14" i="8" s="1"/>
  <c r="Y14" i="8" s="1"/>
  <c r="AA14" i="8" s="1"/>
  <c r="AB14" i="8" s="1"/>
  <c r="N14" i="8" s="1"/>
  <c r="P14" i="8" s="1"/>
  <c r="Q14" i="8" s="1"/>
  <c r="D14" i="8" s="1"/>
  <c r="AN12" i="8"/>
  <c r="AU12" i="8" s="1"/>
  <c r="AV12" i="8" s="1"/>
  <c r="AH12" i="8" s="1"/>
  <c r="AJ12" i="8" s="1"/>
  <c r="AK12" i="8" s="1"/>
  <c r="Y12" i="8" s="1"/>
  <c r="AA12" i="8" s="1"/>
  <c r="AB12" i="8" s="1"/>
  <c r="N12" i="8" s="1"/>
  <c r="P12" i="8" s="1"/>
  <c r="Q12" i="8" s="1"/>
  <c r="D12" i="8" s="1"/>
  <c r="L309" i="6"/>
  <c r="I309" i="6"/>
  <c r="L205" i="6"/>
  <c r="L196" i="6"/>
  <c r="P196" i="6" s="1"/>
  <c r="Q196" i="6" s="1"/>
  <c r="D196" i="6" s="1"/>
  <c r="L162" i="6"/>
  <c r="K162" i="6"/>
  <c r="L156" i="6"/>
  <c r="L78" i="6"/>
  <c r="K78" i="6"/>
  <c r="I78" i="6"/>
  <c r="L46" i="6"/>
  <c r="AJ310" i="6"/>
  <c r="AK310" i="6" s="1"/>
  <c r="Y310" i="6" s="1"/>
  <c r="X310" i="6"/>
  <c r="V310" i="6"/>
  <c r="AJ307" i="6"/>
  <c r="AK307" i="6" s="1"/>
  <c r="Y307" i="6" s="1"/>
  <c r="Z307" i="6"/>
  <c r="X307" i="6"/>
  <c r="W307" i="6"/>
  <c r="V307" i="6"/>
  <c r="I307" i="6"/>
  <c r="AM304" i="6"/>
  <c r="AU304" i="6" s="1"/>
  <c r="AV304" i="6" s="1"/>
  <c r="AH304" i="6" s="1"/>
  <c r="AJ304" i="6" s="1"/>
  <c r="AK304" i="6" s="1"/>
  <c r="Y304" i="6" s="1"/>
  <c r="AA304" i="6" s="1"/>
  <c r="AB304" i="6" s="1"/>
  <c r="AJ297" i="6"/>
  <c r="Y297" i="6"/>
  <c r="X297" i="6"/>
  <c r="AQ286" i="6"/>
  <c r="AU286" i="6" s="1"/>
  <c r="AV286" i="6" s="1"/>
  <c r="AH286" i="6" s="1"/>
  <c r="AJ286" i="6" s="1"/>
  <c r="AK286" i="6" s="1"/>
  <c r="Y286" i="6" s="1"/>
  <c r="V286" i="6"/>
  <c r="AQ283" i="6"/>
  <c r="AU283" i="6" s="1"/>
  <c r="AV283" i="6" s="1"/>
  <c r="AH283" i="6" s="1"/>
  <c r="AJ283" i="6" s="1"/>
  <c r="AK283" i="6" s="1"/>
  <c r="Y283" i="6" s="1"/>
  <c r="AA283" i="6" s="1"/>
  <c r="AB283" i="6" s="1"/>
  <c r="N283" i="6" s="1"/>
  <c r="P283" i="6" s="1"/>
  <c r="Q283" i="6" s="1"/>
  <c r="D283" i="6" s="1"/>
  <c r="AU282" i="6"/>
  <c r="AV282" i="6" s="1"/>
  <c r="AH282" i="6" s="1"/>
  <c r="AJ282" i="6" s="1"/>
  <c r="AK282" i="6" s="1"/>
  <c r="Y282" i="6" s="1"/>
  <c r="AA282" i="6" s="1"/>
  <c r="AB282" i="6" s="1"/>
  <c r="N282" i="6" s="1"/>
  <c r="P282" i="6" s="1"/>
  <c r="Q282" i="6" s="1"/>
  <c r="D282" i="6" s="1"/>
  <c r="AJ278" i="6"/>
  <c r="AK278" i="6" s="1"/>
  <c r="Y278" i="6" s="1"/>
  <c r="V278" i="6"/>
  <c r="AS275" i="6"/>
  <c r="AU275" i="6" s="1"/>
  <c r="AV275" i="6" s="1"/>
  <c r="AH275" i="6" s="1"/>
  <c r="AJ275" i="6" s="1"/>
  <c r="AK275" i="6" s="1"/>
  <c r="Y275" i="6" s="1"/>
  <c r="AA275" i="6" s="1"/>
  <c r="AB275" i="6" s="1"/>
  <c r="AS270" i="6"/>
  <c r="AP270" i="6"/>
  <c r="AN267" i="6"/>
  <c r="AU267" i="6" s="1"/>
  <c r="AV267" i="6" s="1"/>
  <c r="AH267" i="6" s="1"/>
  <c r="AJ267" i="6" s="1"/>
  <c r="AK267" i="6" s="1"/>
  <c r="Y267" i="6" s="1"/>
  <c r="AA267" i="6" s="1"/>
  <c r="AB267" i="6" s="1"/>
  <c r="AM264" i="6"/>
  <c r="AU264" i="6" s="1"/>
  <c r="AV264" i="6" s="1"/>
  <c r="AH264" i="6" s="1"/>
  <c r="AF264" i="6"/>
  <c r="T264" i="6"/>
  <c r="AJ257" i="6"/>
  <c r="AK257" i="6" s="1"/>
  <c r="Y257" i="6" s="1"/>
  <c r="V257" i="6"/>
  <c r="I257" i="6"/>
  <c r="AJ256" i="6"/>
  <c r="AK256" i="6" s="1"/>
  <c r="Y256" i="6" s="1"/>
  <c r="S256" i="6"/>
  <c r="AR255" i="6"/>
  <c r="AQ255" i="6"/>
  <c r="AG255" i="6"/>
  <c r="AF255" i="6"/>
  <c r="AP252" i="6"/>
  <c r="AM252" i="6"/>
  <c r="AJ246" i="6"/>
  <c r="Y246" i="6"/>
  <c r="X246" i="6"/>
  <c r="W246" i="6"/>
  <c r="AE244" i="6"/>
  <c r="AJ244" i="6" s="1"/>
  <c r="AK244" i="6" s="1"/>
  <c r="Y244" i="6" s="1"/>
  <c r="AA244" i="6" s="1"/>
  <c r="AB244" i="6" s="1"/>
  <c r="AJ243" i="6"/>
  <c r="Y243" i="6"/>
  <c r="X243" i="6"/>
  <c r="AR240" i="6"/>
  <c r="AP240" i="6"/>
  <c r="AJ239" i="6"/>
  <c r="Y239" i="6"/>
  <c r="X239" i="6"/>
  <c r="AQ231" i="6"/>
  <c r="AP231" i="6"/>
  <c r="AM230" i="6"/>
  <c r="AU230" i="6" s="1"/>
  <c r="AV230" i="6" s="1"/>
  <c r="AH230" i="6" s="1"/>
  <c r="AF230" i="6"/>
  <c r="AG227" i="6"/>
  <c r="AF227" i="6"/>
  <c r="AE227" i="6"/>
  <c r="AD227" i="6"/>
  <c r="X227" i="6"/>
  <c r="W227" i="6"/>
  <c r="V227" i="6"/>
  <c r="U227" i="6"/>
  <c r="AQ224" i="6"/>
  <c r="AU224" i="6" s="1"/>
  <c r="AV224" i="6" s="1"/>
  <c r="AH224" i="6" s="1"/>
  <c r="AJ224" i="6" s="1"/>
  <c r="AK224" i="6" s="1"/>
  <c r="Y224" i="6" s="1"/>
  <c r="AA224" i="6" s="1"/>
  <c r="AB224" i="6" s="1"/>
  <c r="AQ213" i="6"/>
  <c r="AU213" i="6" s="1"/>
  <c r="AV213" i="6" s="1"/>
  <c r="AH213" i="6" s="1"/>
  <c r="AF213" i="6"/>
  <c r="AE213" i="6"/>
  <c r="AD213" i="6"/>
  <c r="AF212" i="6"/>
  <c r="AE212" i="6"/>
  <c r="AD212" i="6"/>
  <c r="X212" i="6"/>
  <c r="W212" i="6"/>
  <c r="V212" i="6"/>
  <c r="AP210" i="6"/>
  <c r="AU210" i="6" s="1"/>
  <c r="AV210" i="6" s="1"/>
  <c r="AH210" i="6" s="1"/>
  <c r="AJ210" i="6" s="1"/>
  <c r="AK210" i="6" s="1"/>
  <c r="Y210" i="6" s="1"/>
  <c r="AA210" i="6" s="1"/>
  <c r="AB210" i="6" s="1"/>
  <c r="AD207" i="6"/>
  <c r="AJ207" i="6" s="1"/>
  <c r="AK207" i="6" s="1"/>
  <c r="Y207" i="6" s="1"/>
  <c r="X207" i="6"/>
  <c r="W207" i="6"/>
  <c r="V207" i="6"/>
  <c r="U207" i="6"/>
  <c r="AP204" i="6"/>
  <c r="AU204" i="6" s="1"/>
  <c r="AV204" i="6" s="1"/>
  <c r="AH204" i="6" s="1"/>
  <c r="AJ204" i="6" s="1"/>
  <c r="AK204" i="6" s="1"/>
  <c r="Y204" i="6" s="1"/>
  <c r="AA204" i="6" s="1"/>
  <c r="AB204" i="6" s="1"/>
  <c r="AR201" i="6"/>
  <c r="AU201" i="6" s="1"/>
  <c r="AV201" i="6" s="1"/>
  <c r="AH201" i="6" s="1"/>
  <c r="AE201" i="6"/>
  <c r="AD201" i="6"/>
  <c r="AD200" i="6"/>
  <c r="AJ200" i="6" s="1"/>
  <c r="AK200" i="6" s="1"/>
  <c r="Y200" i="6" s="1"/>
  <c r="X200" i="6"/>
  <c r="W200" i="6"/>
  <c r="V200" i="6"/>
  <c r="U200" i="6"/>
  <c r="AG199" i="6"/>
  <c r="AF199" i="6"/>
  <c r="AE199" i="6"/>
  <c r="Z199" i="6"/>
  <c r="X199" i="6"/>
  <c r="AU191" i="6"/>
  <c r="AV191" i="6" s="1"/>
  <c r="AH191" i="6" s="1"/>
  <c r="AJ191" i="6" s="1"/>
  <c r="AK191" i="6" s="1"/>
  <c r="Y191" i="6" s="1"/>
  <c r="AA191" i="6" s="1"/>
  <c r="AB191" i="6" s="1"/>
  <c r="AG186" i="6"/>
  <c r="AJ186" i="6" s="1"/>
  <c r="AK186" i="6" s="1"/>
  <c r="Y186" i="6" s="1"/>
  <c r="X186" i="6"/>
  <c r="AP180" i="6"/>
  <c r="AU180" i="6" s="1"/>
  <c r="AV180" i="6" s="1"/>
  <c r="AH180" i="6" s="1"/>
  <c r="AJ180" i="6" s="1"/>
  <c r="AK180" i="6" s="1"/>
  <c r="Y180" i="6" s="1"/>
  <c r="AA180" i="6" s="1"/>
  <c r="AB180" i="6" s="1"/>
  <c r="AD178" i="6"/>
  <c r="AJ178" i="6" s="1"/>
  <c r="AK178" i="6" s="1"/>
  <c r="Y178" i="6" s="1"/>
  <c r="AA178" i="6" s="1"/>
  <c r="AB178" i="6" s="1"/>
  <c r="AU175" i="6"/>
  <c r="AV175" i="6" s="1"/>
  <c r="AH175" i="6" s="1"/>
  <c r="AF175" i="6"/>
  <c r="AG172" i="6"/>
  <c r="AJ172" i="6" s="1"/>
  <c r="AK172" i="6" s="1"/>
  <c r="Y172" i="6" s="1"/>
  <c r="X172" i="6"/>
  <c r="AU170" i="6"/>
  <c r="AV170" i="6" s="1"/>
  <c r="AH170" i="6" s="1"/>
  <c r="AJ170" i="6" s="1"/>
  <c r="AK170" i="6" s="1"/>
  <c r="Y170" i="6" s="1"/>
  <c r="AA170" i="6" s="1"/>
  <c r="AB170" i="6" s="1"/>
  <c r="AJ169" i="6"/>
  <c r="Y169" i="6"/>
  <c r="X169" i="6"/>
  <c r="V169" i="6"/>
  <c r="T169" i="6"/>
  <c r="S169" i="6"/>
  <c r="L169" i="6"/>
  <c r="K169" i="6"/>
  <c r="J169" i="6"/>
  <c r="I169" i="6"/>
  <c r="AR165" i="6"/>
  <c r="AQ165" i="6"/>
  <c r="AG165" i="6"/>
  <c r="AF165" i="6"/>
  <c r="AM152" i="6"/>
  <c r="AU152" i="6" s="1"/>
  <c r="AV152" i="6" s="1"/>
  <c r="AH152" i="6" s="1"/>
  <c r="AF152" i="6"/>
  <c r="T152" i="6"/>
  <c r="AR148" i="6"/>
  <c r="AU148" i="6" s="1"/>
  <c r="AV148" i="6" s="1"/>
  <c r="AH148" i="6" s="1"/>
  <c r="AJ148" i="6" s="1"/>
  <c r="AK148" i="6" s="1"/>
  <c r="Y148" i="6" s="1"/>
  <c r="AA148" i="6" s="1"/>
  <c r="AB148" i="6" s="1"/>
  <c r="AT144" i="6"/>
  <c r="AR144" i="6"/>
  <c r="AU144" i="6" s="1"/>
  <c r="AR142" i="6"/>
  <c r="AQ142" i="6"/>
  <c r="AF142" i="6"/>
  <c r="AP135" i="6"/>
  <c r="AN135" i="6"/>
  <c r="S135" i="6"/>
  <c r="L135" i="6"/>
  <c r="K135" i="6"/>
  <c r="AQ133" i="6"/>
  <c r="AU133" i="6" s="1"/>
  <c r="AV133" i="6" s="1"/>
  <c r="AH133" i="6" s="1"/>
  <c r="AJ133" i="6" s="1"/>
  <c r="AK133" i="6" s="1"/>
  <c r="Y133" i="6" s="1"/>
  <c r="AA133" i="6" s="1"/>
  <c r="AB133" i="6" s="1"/>
  <c r="AE129" i="6"/>
  <c r="AJ129" i="6" s="1"/>
  <c r="AK129" i="6" s="1"/>
  <c r="Y129" i="6" s="1"/>
  <c r="AA129" i="6" s="1"/>
  <c r="AB129" i="6" s="1"/>
  <c r="AG126" i="6"/>
  <c r="AJ126" i="6" s="1"/>
  <c r="AK126" i="6" s="1"/>
  <c r="Y126" i="6" s="1"/>
  <c r="AA126" i="6" s="1"/>
  <c r="AB126" i="6" s="1"/>
  <c r="AT124" i="6"/>
  <c r="AS124" i="6"/>
  <c r="AR124" i="6"/>
  <c r="AI124" i="6"/>
  <c r="AG124" i="6"/>
  <c r="AF124" i="6"/>
  <c r="AD124" i="6"/>
  <c r="X124" i="6"/>
  <c r="W124" i="6"/>
  <c r="V124" i="6"/>
  <c r="U124" i="6"/>
  <c r="T124" i="6"/>
  <c r="S124" i="6"/>
  <c r="K124" i="6"/>
  <c r="J124" i="6"/>
  <c r="I124" i="6"/>
  <c r="AT109" i="6"/>
  <c r="AS109" i="6"/>
  <c r="AR109" i="6"/>
  <c r="AG106" i="6"/>
  <c r="AJ106" i="6" s="1"/>
  <c r="AK106" i="6" s="1"/>
  <c r="Y106" i="6" s="1"/>
  <c r="X106" i="6"/>
  <c r="V106" i="6"/>
  <c r="AP105" i="6"/>
  <c r="AU105" i="6" s="1"/>
  <c r="AV105" i="6" s="1"/>
  <c r="AH105" i="6" s="1"/>
  <c r="AJ105" i="6" s="1"/>
  <c r="AK105" i="6" s="1"/>
  <c r="Y105" i="6" s="1"/>
  <c r="AA105" i="6" s="1"/>
  <c r="AB105" i="6" s="1"/>
  <c r="AR101" i="6"/>
  <c r="AU101" i="6" s="1"/>
  <c r="AV101" i="6" s="1"/>
  <c r="AH101" i="6" s="1"/>
  <c r="AJ101" i="6" s="1"/>
  <c r="AK101" i="6" s="1"/>
  <c r="Y101" i="6" s="1"/>
  <c r="AA101" i="6" s="1"/>
  <c r="AB101" i="6" s="1"/>
  <c r="AH99" i="6"/>
  <c r="AJ99" i="6" s="1"/>
  <c r="AK99" i="6" s="1"/>
  <c r="Y99" i="6" s="1"/>
  <c r="AA99" i="6" s="1"/>
  <c r="AB99" i="6" s="1"/>
  <c r="AJ98" i="6"/>
  <c r="Z98" i="6"/>
  <c r="Y98" i="6"/>
  <c r="X98" i="6"/>
  <c r="W98" i="6"/>
  <c r="AR95" i="6"/>
  <c r="AQ95" i="6"/>
  <c r="AI95" i="6"/>
  <c r="AG95" i="6"/>
  <c r="AF95" i="6"/>
  <c r="AE95" i="6"/>
  <c r="AP94" i="6"/>
  <c r="AU94" i="6" s="1"/>
  <c r="AV94" i="6" s="1"/>
  <c r="AH94" i="6" s="1"/>
  <c r="AF94" i="6"/>
  <c r="AE94" i="6"/>
  <c r="AD94" i="6"/>
  <c r="Z94" i="6"/>
  <c r="X94" i="6"/>
  <c r="W94" i="6"/>
  <c r="V94" i="6"/>
  <c r="U94" i="6"/>
  <c r="T94" i="6"/>
  <c r="S94" i="6"/>
  <c r="L94" i="6"/>
  <c r="AP87" i="6"/>
  <c r="AU87" i="6" s="1"/>
  <c r="AV87" i="6" s="1"/>
  <c r="AH87" i="6" s="1"/>
  <c r="AJ87" i="6" s="1"/>
  <c r="AK87" i="6" s="1"/>
  <c r="Y87" i="6" s="1"/>
  <c r="AA87" i="6" s="1"/>
  <c r="AB87" i="6" s="1"/>
  <c r="AJ83" i="6"/>
  <c r="Y83" i="6"/>
  <c r="X83" i="6"/>
  <c r="L75" i="6"/>
  <c r="O75" i="6"/>
  <c r="AS69" i="6"/>
  <c r="AR69" i="6"/>
  <c r="AE69" i="6"/>
  <c r="O69" i="6"/>
  <c r="K69" i="6"/>
  <c r="J69" i="6"/>
  <c r="AG66" i="6"/>
  <c r="AJ66" i="6" s="1"/>
  <c r="AK66" i="6" s="1"/>
  <c r="Y66" i="6" s="1"/>
  <c r="X66" i="6"/>
  <c r="AJ65" i="6"/>
  <c r="AK65" i="6" s="1"/>
  <c r="Y65" i="6" s="1"/>
  <c r="S65" i="6"/>
  <c r="AT64" i="6"/>
  <c r="AS64" i="6"/>
  <c r="AR64" i="6"/>
  <c r="AP64" i="6"/>
  <c r="AR62" i="6"/>
  <c r="AU62" i="6" s="1"/>
  <c r="AV62" i="6" s="1"/>
  <c r="AH62" i="6" s="1"/>
  <c r="AG62" i="6"/>
  <c r="AF62" i="6"/>
  <c r="AE62" i="6"/>
  <c r="AR58" i="6"/>
  <c r="AP58" i="6"/>
  <c r="AF58" i="6"/>
  <c r="AJ57" i="6"/>
  <c r="AK57" i="6" s="1"/>
  <c r="Y57" i="6" s="1"/>
  <c r="U57" i="6"/>
  <c r="M57" i="6"/>
  <c r="AR50" i="6"/>
  <c r="AQ50" i="6"/>
  <c r="AP50" i="6"/>
  <c r="AN50" i="6"/>
  <c r="AG50" i="6"/>
  <c r="AF50" i="6"/>
  <c r="AE50" i="6"/>
  <c r="AR49" i="6"/>
  <c r="AU49" i="6" s="1"/>
  <c r="AV49" i="6" s="1"/>
  <c r="AH49" i="6" s="1"/>
  <c r="AG49" i="6"/>
  <c r="AF49" i="6"/>
  <c r="AJ40" i="6"/>
  <c r="Y40" i="6"/>
  <c r="X40" i="6"/>
  <c r="AT39" i="6"/>
  <c r="AR39" i="6"/>
  <c r="AU39" i="6" s="1"/>
  <c r="AH38" i="6"/>
  <c r="AF38" i="6"/>
  <c r="W38" i="6"/>
  <c r="AR29" i="6"/>
  <c r="AU29" i="6" s="1"/>
  <c r="AV29" i="6" s="1"/>
  <c r="AH29" i="6" s="1"/>
  <c r="AG29" i="6"/>
  <c r="AF29" i="6"/>
  <c r="AE29" i="6"/>
  <c r="AJ28" i="6"/>
  <c r="AK28" i="6" s="1"/>
  <c r="Y28" i="6" s="1"/>
  <c r="T28" i="6"/>
  <c r="AS22" i="6"/>
  <c r="AP22" i="6"/>
  <c r="AF22" i="6"/>
  <c r="AS254" i="6"/>
  <c r="AU254" i="6" s="1"/>
  <c r="AV254" i="6" s="1"/>
  <c r="AH254" i="6" s="1"/>
  <c r="AE254" i="6"/>
  <c r="AT250" i="6"/>
  <c r="AR250" i="6"/>
  <c r="AQ250" i="6"/>
  <c r="AP250" i="6"/>
  <c r="AN250" i="6"/>
  <c r="AM250" i="6"/>
  <c r="AI250" i="6"/>
  <c r="AG250" i="6"/>
  <c r="AF250" i="6"/>
  <c r="AE250" i="6"/>
  <c r="Z250" i="6"/>
  <c r="W250" i="6"/>
  <c r="V250" i="6"/>
  <c r="AG232" i="6"/>
  <c r="AF232" i="6"/>
  <c r="AE232" i="6"/>
  <c r="AD232" i="6"/>
  <c r="X232" i="6"/>
  <c r="W232" i="6"/>
  <c r="V232" i="6"/>
  <c r="U232" i="6"/>
  <c r="T232" i="6"/>
  <c r="S232" i="6"/>
  <c r="K232" i="6"/>
  <c r="J232" i="6"/>
  <c r="AT214" i="6"/>
  <c r="AR214" i="6"/>
  <c r="AQ214" i="6"/>
  <c r="AP214" i="6"/>
  <c r="AN214" i="6"/>
  <c r="AM214" i="6"/>
  <c r="AI214" i="6"/>
  <c r="AG214" i="6"/>
  <c r="AF214" i="6"/>
  <c r="AE214" i="6"/>
  <c r="AD214" i="6"/>
  <c r="Z214" i="6"/>
  <c r="X214" i="6"/>
  <c r="W214" i="6"/>
  <c r="V214" i="6"/>
  <c r="U214" i="6"/>
  <c r="T214" i="6"/>
  <c r="S214" i="6"/>
  <c r="M214" i="6"/>
  <c r="K214" i="6"/>
  <c r="J214" i="6"/>
  <c r="I214" i="6"/>
  <c r="AS179" i="6"/>
  <c r="AU179" i="6" s="1"/>
  <c r="AV179" i="6" s="1"/>
  <c r="AH179" i="6" s="1"/>
  <c r="AG179" i="6"/>
  <c r="AF179" i="6"/>
  <c r="AE179" i="6"/>
  <c r="Z179" i="6"/>
  <c r="X179" i="6"/>
  <c r="W179" i="6"/>
  <c r="K179" i="6"/>
  <c r="J179" i="6"/>
  <c r="I179" i="6"/>
  <c r="J163" i="6"/>
  <c r="X163" i="6"/>
  <c r="Z163" i="6"/>
  <c r="AE163" i="6"/>
  <c r="AF163" i="6"/>
  <c r="AG163" i="6"/>
  <c r="AU163" i="6"/>
  <c r="AV163" i="6" s="1"/>
  <c r="AH163" i="6" s="1"/>
  <c r="I92" i="6"/>
  <c r="J92" i="6"/>
  <c r="K92" i="6"/>
  <c r="L92" i="6"/>
  <c r="M92" i="6"/>
  <c r="T92" i="6"/>
  <c r="U92" i="6"/>
  <c r="V92" i="6"/>
  <c r="W92" i="6"/>
  <c r="X92" i="6"/>
  <c r="Z92" i="6"/>
  <c r="AD92" i="6"/>
  <c r="AF92" i="6"/>
  <c r="AG92" i="6"/>
  <c r="AI92" i="6"/>
  <c r="AP92" i="6"/>
  <c r="AQ92" i="6"/>
  <c r="AR92" i="6"/>
  <c r="AS92" i="6"/>
  <c r="AT92" i="6"/>
  <c r="K44" i="4"/>
  <c r="S44" i="4"/>
  <c r="U44" i="4"/>
  <c r="V44" i="4"/>
  <c r="W44" i="4"/>
  <c r="X44" i="4"/>
  <c r="Y44" i="4"/>
  <c r="K36" i="4"/>
  <c r="S36" i="4"/>
  <c r="Y36" i="4"/>
  <c r="I29" i="4"/>
  <c r="J29" i="4"/>
  <c r="K29" i="4"/>
  <c r="L29" i="4"/>
  <c r="S29" i="4"/>
  <c r="T29" i="4"/>
  <c r="U29" i="4"/>
  <c r="V29" i="4"/>
  <c r="W29" i="4"/>
  <c r="X29" i="4"/>
  <c r="AD29" i="4"/>
  <c r="AE29" i="4"/>
  <c r="AF29" i="4"/>
  <c r="AG29" i="4"/>
  <c r="AM29" i="4"/>
  <c r="AO29" i="4"/>
  <c r="AP29" i="4"/>
  <c r="AQ29" i="4"/>
  <c r="AR29" i="4"/>
  <c r="I32" i="4"/>
  <c r="J32" i="4"/>
  <c r="K32" i="4"/>
  <c r="O32" i="4"/>
  <c r="T32" i="4"/>
  <c r="U32" i="4"/>
  <c r="Y32" i="4"/>
  <c r="Z32" i="4"/>
  <c r="S34" i="4"/>
  <c r="Y34" i="4"/>
  <c r="AG27" i="4"/>
  <c r="AJ27" i="4" s="1"/>
  <c r="AK27" i="4" s="1"/>
  <c r="Y27" i="4" s="1"/>
  <c r="AA27" i="4" s="1"/>
  <c r="AB27" i="4" s="1"/>
  <c r="V24" i="4"/>
  <c r="Y24" i="4"/>
  <c r="AM19" i="4"/>
  <c r="AU19" i="4" s="1"/>
  <c r="AV19" i="4" s="1"/>
  <c r="AH19" i="4" s="1"/>
  <c r="AJ19" i="4" s="1"/>
  <c r="AK19" i="4" s="1"/>
  <c r="Y19" i="4" s="1"/>
  <c r="AA19" i="4" s="1"/>
  <c r="AB19" i="4" s="1"/>
  <c r="Y17" i="4"/>
  <c r="S17" i="4"/>
  <c r="AF13" i="4"/>
  <c r="AO13" i="4"/>
  <c r="AP13" i="4"/>
  <c r="AQ13" i="4"/>
  <c r="AS13" i="4"/>
  <c r="AD11" i="4"/>
  <c r="AJ11" i="4" s="1"/>
  <c r="AK11" i="4" s="1"/>
  <c r="Y11" i="4" s="1"/>
  <c r="AA11" i="4" s="1"/>
  <c r="AB11" i="4" s="1"/>
  <c r="AS9" i="4"/>
  <c r="AR9" i="4"/>
  <c r="AQ9" i="4"/>
  <c r="AO9" i="4"/>
  <c r="AG9" i="4"/>
  <c r="AF9" i="4"/>
  <c r="L469" i="3"/>
  <c r="L442" i="3"/>
  <c r="I435" i="3"/>
  <c r="J435" i="3"/>
  <c r="K435" i="3"/>
  <c r="L435" i="3"/>
  <c r="L397" i="3"/>
  <c r="L393" i="3"/>
  <c r="L387" i="3"/>
  <c r="K369" i="3"/>
  <c r="L369" i="3"/>
  <c r="I361" i="3"/>
  <c r="J361" i="3"/>
  <c r="K361" i="3"/>
  <c r="L361" i="3"/>
  <c r="L331" i="3"/>
  <c r="L321" i="3"/>
  <c r="I488" i="3"/>
  <c r="L286" i="3"/>
  <c r="L285" i="3"/>
  <c r="L239" i="3"/>
  <c r="L224" i="3"/>
  <c r="J171" i="3"/>
  <c r="K171" i="3"/>
  <c r="L171" i="3"/>
  <c r="K135" i="3"/>
  <c r="L135" i="3"/>
  <c r="L80" i="3"/>
  <c r="AJ466" i="3"/>
  <c r="AK466" i="3" s="1"/>
  <c r="Y466" i="3" s="1"/>
  <c r="V466" i="3"/>
  <c r="AU458" i="3"/>
  <c r="AV458" i="3" s="1"/>
  <c r="AE458" i="3"/>
  <c r="AJ458" i="3" s="1"/>
  <c r="AK458" i="3" s="1"/>
  <c r="Y458" i="3" s="1"/>
  <c r="V458" i="3"/>
  <c r="T458" i="3"/>
  <c r="S458" i="3"/>
  <c r="L458" i="3"/>
  <c r="K458" i="3"/>
  <c r="J458" i="3"/>
  <c r="I458" i="3"/>
  <c r="AR456" i="3"/>
  <c r="AQ456" i="3"/>
  <c r="AG456" i="3"/>
  <c r="AF456" i="3"/>
  <c r="AE456" i="3"/>
  <c r="X456" i="3"/>
  <c r="W456" i="3"/>
  <c r="V456" i="3"/>
  <c r="S456" i="3"/>
  <c r="AU454" i="3"/>
  <c r="AV454" i="3" s="1"/>
  <c r="AE454" i="3"/>
  <c r="AJ454" i="3" s="1"/>
  <c r="AK454" i="3" s="1"/>
  <c r="Y454" i="3" s="1"/>
  <c r="W454" i="3"/>
  <c r="V454" i="3"/>
  <c r="K454" i="3"/>
  <c r="J454" i="3"/>
  <c r="AO446" i="3"/>
  <c r="AU446" i="3" s="1"/>
  <c r="AV446" i="3" s="1"/>
  <c r="AH446" i="3" s="1"/>
  <c r="AJ446" i="3" s="1"/>
  <c r="AK446" i="3" s="1"/>
  <c r="Y446" i="3" s="1"/>
  <c r="AA446" i="3" s="1"/>
  <c r="AB446" i="3" s="1"/>
  <c r="N446" i="3" s="1"/>
  <c r="P446" i="3" s="1"/>
  <c r="Q446" i="3" s="1"/>
  <c r="D446" i="3" s="1"/>
  <c r="AR444" i="3"/>
  <c r="AU444" i="3" s="1"/>
  <c r="AV444" i="3" s="1"/>
  <c r="AH444" i="3" s="1"/>
  <c r="AJ444" i="3" s="1"/>
  <c r="AK444" i="3" s="1"/>
  <c r="Y444" i="3" s="1"/>
  <c r="AA444" i="3" s="1"/>
  <c r="AB444" i="3" s="1"/>
  <c r="N444" i="3" s="1"/>
  <c r="P444" i="3" s="1"/>
  <c r="Q444" i="3" s="1"/>
  <c r="D444" i="3" s="1"/>
  <c r="AU443" i="3"/>
  <c r="AV443" i="3" s="1"/>
  <c r="AI443" i="3"/>
  <c r="AG443" i="3"/>
  <c r="AJ443" i="3" s="1"/>
  <c r="X443" i="3"/>
  <c r="AO424" i="3"/>
  <c r="AU424" i="3" s="1"/>
  <c r="AV424" i="3" s="1"/>
  <c r="AH424" i="3" s="1"/>
  <c r="AG424" i="3"/>
  <c r="AF424" i="3"/>
  <c r="X424" i="3"/>
  <c r="W424" i="3"/>
  <c r="V424" i="3"/>
  <c r="T424" i="3"/>
  <c r="L424" i="3"/>
  <c r="K424" i="3"/>
  <c r="J424" i="3"/>
  <c r="AJ419" i="3"/>
  <c r="AK419" i="3" s="1"/>
  <c r="Y419" i="3" s="1"/>
  <c r="W419" i="3"/>
  <c r="AJ417" i="3"/>
  <c r="AK417" i="3" s="1"/>
  <c r="Y417" i="3" s="1"/>
  <c r="X417" i="3"/>
  <c r="AJ401" i="3"/>
  <c r="AK401" i="3" s="1"/>
  <c r="Y401" i="3" s="1"/>
  <c r="X401" i="3"/>
  <c r="U401" i="3"/>
  <c r="AJ400" i="3"/>
  <c r="AK400" i="3" s="1"/>
  <c r="Y400" i="3" s="1"/>
  <c r="V400" i="3"/>
  <c r="K400" i="3"/>
  <c r="I400" i="3"/>
  <c r="AJ379" i="3"/>
  <c r="AK379" i="3" s="1"/>
  <c r="Y379" i="3" s="1"/>
  <c r="T379" i="3"/>
  <c r="K379" i="3"/>
  <c r="AU371" i="3"/>
  <c r="AV371" i="3" s="1"/>
  <c r="AJ371" i="3"/>
  <c r="AK371" i="3" s="1"/>
  <c r="Y371" i="3" s="1"/>
  <c r="X371" i="3"/>
  <c r="W371" i="3"/>
  <c r="V371" i="3"/>
  <c r="U371" i="3"/>
  <c r="T371" i="3"/>
  <c r="S371" i="3"/>
  <c r="K371" i="3"/>
  <c r="AJ365" i="3"/>
  <c r="AK365" i="3" s="1"/>
  <c r="Y365" i="3" s="1"/>
  <c r="S365" i="3"/>
  <c r="AJ355" i="3"/>
  <c r="AK355" i="3" s="1"/>
  <c r="Y355" i="3" s="1"/>
  <c r="W355" i="3"/>
  <c r="V355" i="3"/>
  <c r="AJ354" i="3"/>
  <c r="AK354" i="3" s="1"/>
  <c r="Y354" i="3" s="1"/>
  <c r="W354" i="3"/>
  <c r="AQ352" i="3"/>
  <c r="AO352" i="3"/>
  <c r="AG352" i="3"/>
  <c r="X352" i="3"/>
  <c r="W352" i="3"/>
  <c r="U352" i="3"/>
  <c r="S352" i="3"/>
  <c r="K352" i="3"/>
  <c r="J352" i="3"/>
  <c r="AJ350" i="3"/>
  <c r="AK350" i="3" s="1"/>
  <c r="Y350" i="3" s="1"/>
  <c r="S350" i="3"/>
  <c r="AJ345" i="3"/>
  <c r="AK345" i="3" s="1"/>
  <c r="Y345" i="3" s="1"/>
  <c r="X345" i="3"/>
  <c r="AJ341" i="3"/>
  <c r="AK341" i="3" s="1"/>
  <c r="Y341" i="3" s="1"/>
  <c r="S341" i="3"/>
  <c r="L341" i="3"/>
  <c r="AJ338" i="3"/>
  <c r="AK338" i="3" s="1"/>
  <c r="Y338" i="3" s="1"/>
  <c r="X338" i="3"/>
  <c r="AJ329" i="3"/>
  <c r="AK329" i="3" s="1"/>
  <c r="Y329" i="3" s="1"/>
  <c r="V329" i="3"/>
  <c r="AJ326" i="3"/>
  <c r="AK326" i="3" s="1"/>
  <c r="Y326" i="3" s="1"/>
  <c r="S326" i="3"/>
  <c r="L326" i="3"/>
  <c r="AJ325" i="3"/>
  <c r="AK325" i="3" s="1"/>
  <c r="Y325" i="3" s="1"/>
  <c r="V325" i="3"/>
  <c r="S325" i="3"/>
  <c r="AJ218" i="3"/>
  <c r="AK218" i="3" s="1"/>
  <c r="Y218" i="3" s="1"/>
  <c r="X218" i="3"/>
  <c r="W218" i="3"/>
  <c r="V218" i="3"/>
  <c r="L218" i="3"/>
  <c r="K218" i="3"/>
  <c r="J218" i="3"/>
  <c r="AJ320" i="3"/>
  <c r="AK320" i="3" s="1"/>
  <c r="Y320" i="3" s="1"/>
  <c r="V320" i="3"/>
  <c r="U320" i="3"/>
  <c r="AJ304" i="3"/>
  <c r="AK304" i="3" s="1"/>
  <c r="Y304" i="3" s="1"/>
  <c r="X304" i="3"/>
  <c r="AU302" i="3"/>
  <c r="AV302" i="3" s="1"/>
  <c r="AE302" i="3"/>
  <c r="AJ302" i="3" s="1"/>
  <c r="AK302" i="3" s="1"/>
  <c r="Y302" i="3" s="1"/>
  <c r="AA302" i="3" s="1"/>
  <c r="AB302" i="3" s="1"/>
  <c r="N302" i="3" s="1"/>
  <c r="P302" i="3" s="1"/>
  <c r="Q302" i="3" s="1"/>
  <c r="D302" i="3" s="1"/>
  <c r="AU298" i="3"/>
  <c r="AV298" i="3" s="1"/>
  <c r="AH298" i="3" s="1"/>
  <c r="AJ298" i="3" s="1"/>
  <c r="AK298" i="3" s="1"/>
  <c r="Y298" i="3" s="1"/>
  <c r="AA298" i="3" s="1"/>
  <c r="AB298" i="3" s="1"/>
  <c r="N298" i="3" s="1"/>
  <c r="P298" i="3" s="1"/>
  <c r="Q298" i="3" s="1"/>
  <c r="D298" i="3" s="1"/>
  <c r="AR293" i="3"/>
  <c r="AQ293" i="3"/>
  <c r="AG293" i="3"/>
  <c r="AF293" i="3"/>
  <c r="W293" i="3"/>
  <c r="AO292" i="3"/>
  <c r="AU292" i="3" s="1"/>
  <c r="AV292" i="3" s="1"/>
  <c r="AH292" i="3" s="1"/>
  <c r="AJ292" i="3" s="1"/>
  <c r="AK292" i="3" s="1"/>
  <c r="Y292" i="3" s="1"/>
  <c r="AA292" i="3" s="1"/>
  <c r="AB292" i="3" s="1"/>
  <c r="N292" i="3" s="1"/>
  <c r="P292" i="3" s="1"/>
  <c r="Q292" i="3" s="1"/>
  <c r="D292" i="3" s="1"/>
  <c r="AP289" i="3"/>
  <c r="AU289" i="3" s="1"/>
  <c r="AV289" i="3" s="1"/>
  <c r="AH289" i="3" s="1"/>
  <c r="AG289" i="3"/>
  <c r="AF289" i="3"/>
  <c r="AE289" i="3"/>
  <c r="X289" i="3"/>
  <c r="AJ287" i="3"/>
  <c r="AK287" i="3" s="1"/>
  <c r="Y287" i="3" s="1"/>
  <c r="X287" i="3"/>
  <c r="AR283" i="3"/>
  <c r="AQ283" i="3"/>
  <c r="AG283" i="3"/>
  <c r="AF283" i="3"/>
  <c r="AE283" i="3"/>
  <c r="X283" i="3"/>
  <c r="W283" i="3"/>
  <c r="AO282" i="3"/>
  <c r="AU282" i="3" s="1"/>
  <c r="AV282" i="3" s="1"/>
  <c r="AH282" i="3" s="1"/>
  <c r="AJ282" i="3" s="1"/>
  <c r="AK282" i="3" s="1"/>
  <c r="Y282" i="3" s="1"/>
  <c r="W282" i="3"/>
  <c r="V282" i="3"/>
  <c r="AJ280" i="3"/>
  <c r="AK280" i="3" s="1"/>
  <c r="Y280" i="3" s="1"/>
  <c r="S280" i="3"/>
  <c r="AR274" i="3"/>
  <c r="AU274" i="3" s="1"/>
  <c r="AV274" i="3" s="1"/>
  <c r="AH274" i="3" s="1"/>
  <c r="AJ274" i="3" s="1"/>
  <c r="AK274" i="3" s="1"/>
  <c r="Y274" i="3" s="1"/>
  <c r="V274" i="3"/>
  <c r="AJ271" i="3"/>
  <c r="AK271" i="3" s="1"/>
  <c r="Y271" i="3" s="1"/>
  <c r="W271" i="3"/>
  <c r="V271" i="3"/>
  <c r="AU267" i="3"/>
  <c r="AV267" i="3" s="1"/>
  <c r="AH267" i="3" s="1"/>
  <c r="AJ267" i="3" s="1"/>
  <c r="AK267" i="3" s="1"/>
  <c r="Y267" i="3" s="1"/>
  <c r="X267" i="3"/>
  <c r="AJ264" i="3"/>
  <c r="AK264" i="3" s="1"/>
  <c r="Y264" i="3" s="1"/>
  <c r="W264" i="3"/>
  <c r="V264" i="3"/>
  <c r="AJ261" i="3"/>
  <c r="AK261" i="3" s="1"/>
  <c r="Y261" i="3" s="1"/>
  <c r="W261" i="3"/>
  <c r="V261" i="3"/>
  <c r="T261" i="3"/>
  <c r="AU260" i="3"/>
  <c r="AV260" i="3" s="1"/>
  <c r="AE260" i="3"/>
  <c r="AJ260" i="3" s="1"/>
  <c r="AK260" i="3" s="1"/>
  <c r="Y260" i="3" s="1"/>
  <c r="AA260" i="3" s="1"/>
  <c r="AB260" i="3" s="1"/>
  <c r="N260" i="3" s="1"/>
  <c r="P260" i="3" s="1"/>
  <c r="Q260" i="3" s="1"/>
  <c r="D260" i="3" s="1"/>
  <c r="AJ252" i="3"/>
  <c r="AK252" i="3" s="1"/>
  <c r="Y252" i="3" s="1"/>
  <c r="W252" i="3"/>
  <c r="AU249" i="3"/>
  <c r="AV249" i="3" s="1"/>
  <c r="AJ249" i="3"/>
  <c r="AK249" i="3" s="1"/>
  <c r="Y249" i="3" s="1"/>
  <c r="AA249" i="3" s="1"/>
  <c r="AB249" i="3" s="1"/>
  <c r="N249" i="3" s="1"/>
  <c r="P249" i="3" s="1"/>
  <c r="Q249" i="3" s="1"/>
  <c r="D249" i="3" s="1"/>
  <c r="AR248" i="3"/>
  <c r="AQ248" i="3"/>
  <c r="AJ238" i="3"/>
  <c r="AK238" i="3" s="1"/>
  <c r="Y238" i="3" s="1"/>
  <c r="V238" i="3"/>
  <c r="S238" i="3"/>
  <c r="J238" i="3"/>
  <c r="AR237" i="3"/>
  <c r="AQ237" i="3"/>
  <c r="AJ229" i="3"/>
  <c r="AK229" i="3" s="1"/>
  <c r="Y229" i="3" s="1"/>
  <c r="W229" i="3"/>
  <c r="AJ225" i="3"/>
  <c r="AK225" i="3" s="1"/>
  <c r="Y225" i="3" s="1"/>
  <c r="T225" i="3"/>
  <c r="S225" i="3"/>
  <c r="AR215" i="3"/>
  <c r="AQ215" i="3"/>
  <c r="AU213" i="3"/>
  <c r="AV213" i="3" s="1"/>
  <c r="AE213" i="3"/>
  <c r="AJ213" i="3" s="1"/>
  <c r="AK213" i="3" s="1"/>
  <c r="Y213" i="3" s="1"/>
  <c r="AA213" i="3" s="1"/>
  <c r="AB213" i="3" s="1"/>
  <c r="N213" i="3" s="1"/>
  <c r="P213" i="3" s="1"/>
  <c r="Q213" i="3" s="1"/>
  <c r="D213" i="3" s="1"/>
  <c r="AQ211" i="3"/>
  <c r="AP211" i="3"/>
  <c r="AO211" i="3"/>
  <c r="AJ199" i="3"/>
  <c r="AK199" i="3" s="1"/>
  <c r="Y199" i="3" s="1"/>
  <c r="V199" i="3"/>
  <c r="S199" i="3"/>
  <c r="K199" i="3"/>
  <c r="AR188" i="3"/>
  <c r="AU188" i="3" s="1"/>
  <c r="AV188" i="3" s="1"/>
  <c r="AH188" i="3" s="1"/>
  <c r="AF188" i="3"/>
  <c r="AO187" i="3"/>
  <c r="AN187" i="3"/>
  <c r="AG187" i="3"/>
  <c r="AF187" i="3"/>
  <c r="X187" i="3"/>
  <c r="W187" i="3"/>
  <c r="V187" i="3"/>
  <c r="L187" i="3"/>
  <c r="K187" i="3"/>
  <c r="J187" i="3"/>
  <c r="I187" i="3"/>
  <c r="AJ186" i="3"/>
  <c r="AK186" i="3" s="1"/>
  <c r="Y186" i="3" s="1"/>
  <c r="S186" i="3"/>
  <c r="AQ184" i="3"/>
  <c r="AU184" i="3" s="1"/>
  <c r="AV184" i="3" s="1"/>
  <c r="AH184" i="3" s="1"/>
  <c r="AJ184" i="3" s="1"/>
  <c r="AK184" i="3" s="1"/>
  <c r="Y184" i="3" s="1"/>
  <c r="AA184" i="3" s="1"/>
  <c r="AB184" i="3" s="1"/>
  <c r="N184" i="3" s="1"/>
  <c r="P184" i="3" s="1"/>
  <c r="Q184" i="3" s="1"/>
  <c r="D184" i="3" s="1"/>
  <c r="AJ178" i="3"/>
  <c r="AK178" i="3" s="1"/>
  <c r="Y178" i="3" s="1"/>
  <c r="X178" i="3"/>
  <c r="AJ172" i="3"/>
  <c r="AK172" i="3" s="1"/>
  <c r="Y172" i="3" s="1"/>
  <c r="T172" i="3"/>
  <c r="S172" i="3"/>
  <c r="AJ170" i="3"/>
  <c r="AK170" i="3" s="1"/>
  <c r="Y170" i="3" s="1"/>
  <c r="X170" i="3"/>
  <c r="W170" i="3"/>
  <c r="V170" i="3"/>
  <c r="L170" i="3"/>
  <c r="K170" i="3"/>
  <c r="J170" i="3"/>
  <c r="I170" i="3"/>
  <c r="AJ158" i="3"/>
  <c r="AK158" i="3" s="1"/>
  <c r="Y158" i="3" s="1"/>
  <c r="T158" i="3"/>
  <c r="S158" i="3"/>
  <c r="K158" i="3"/>
  <c r="I158" i="3"/>
  <c r="AJ157" i="3"/>
  <c r="AK157" i="3" s="1"/>
  <c r="Y157" i="3" s="1"/>
  <c r="T157" i="3"/>
  <c r="S157" i="3"/>
  <c r="K157" i="3"/>
  <c r="AR153" i="3"/>
  <c r="AP153" i="3"/>
  <c r="AO153" i="3"/>
  <c r="AG153" i="3"/>
  <c r="AF153" i="3"/>
  <c r="AE153" i="3"/>
  <c r="V153" i="3"/>
  <c r="AJ151" i="3"/>
  <c r="AK151" i="3" s="1"/>
  <c r="Y151" i="3" s="1"/>
  <c r="S151" i="3"/>
  <c r="L151" i="3"/>
  <c r="AU147" i="3"/>
  <c r="AV147" i="3" s="1"/>
  <c r="AG147" i="3"/>
  <c r="AJ147" i="3" s="1"/>
  <c r="AK147" i="3" s="1"/>
  <c r="Y147" i="3" s="1"/>
  <c r="AA147" i="3" s="1"/>
  <c r="AB147" i="3" s="1"/>
  <c r="N147" i="3" s="1"/>
  <c r="P147" i="3" s="1"/>
  <c r="Q147" i="3" s="1"/>
  <c r="D147" i="3" s="1"/>
  <c r="AJ140" i="3"/>
  <c r="AK140" i="3" s="1"/>
  <c r="Y140" i="3" s="1"/>
  <c r="S140" i="3"/>
  <c r="AO138" i="3"/>
  <c r="AU138" i="3" s="1"/>
  <c r="AV138" i="3" s="1"/>
  <c r="AH138" i="3" s="1"/>
  <c r="AJ138" i="3" s="1"/>
  <c r="AK138" i="3" s="1"/>
  <c r="Y138" i="3" s="1"/>
  <c r="AA138" i="3" s="1"/>
  <c r="AB138" i="3" s="1"/>
  <c r="N138" i="3" s="1"/>
  <c r="P138" i="3" s="1"/>
  <c r="Q138" i="3" s="1"/>
  <c r="D138" i="3" s="1"/>
  <c r="AJ132" i="3"/>
  <c r="AK132" i="3" s="1"/>
  <c r="Y132" i="3" s="1"/>
  <c r="V132" i="3"/>
  <c r="AR126" i="3"/>
  <c r="AU126" i="3" s="1"/>
  <c r="AV126" i="3" s="1"/>
  <c r="AH126" i="3" s="1"/>
  <c r="AJ126" i="3" s="1"/>
  <c r="AK126" i="3" s="1"/>
  <c r="Y126" i="3" s="1"/>
  <c r="AA126" i="3" s="1"/>
  <c r="AB126" i="3" s="1"/>
  <c r="N126" i="3" s="1"/>
  <c r="P126" i="3" s="1"/>
  <c r="Q126" i="3" s="1"/>
  <c r="D126" i="3" s="1"/>
  <c r="AR122" i="3"/>
  <c r="AP122" i="3"/>
  <c r="AG122" i="3"/>
  <c r="AF122" i="3"/>
  <c r="AE122" i="3"/>
  <c r="V122" i="3"/>
  <c r="S122" i="3"/>
  <c r="L122" i="3"/>
  <c r="AU115" i="3"/>
  <c r="AV115" i="3" s="1"/>
  <c r="AJ115" i="3"/>
  <c r="AK115" i="3" s="1"/>
  <c r="Y115" i="3" s="1"/>
  <c r="X115" i="3"/>
  <c r="W115" i="3"/>
  <c r="V115" i="3"/>
  <c r="U115" i="3"/>
  <c r="T115" i="3"/>
  <c r="S115" i="3"/>
  <c r="O115" i="3"/>
  <c r="K115" i="3"/>
  <c r="J115" i="3"/>
  <c r="I115" i="3"/>
  <c r="AP113" i="3"/>
  <c r="AO113" i="3"/>
  <c r="AG113" i="3"/>
  <c r="AF113" i="3"/>
  <c r="AE113" i="3"/>
  <c r="X113" i="3"/>
  <c r="W113" i="3"/>
  <c r="V113" i="3"/>
  <c r="AO107" i="3"/>
  <c r="AU107" i="3" s="1"/>
  <c r="AV107" i="3" s="1"/>
  <c r="AH107" i="3" s="1"/>
  <c r="AJ107" i="3" s="1"/>
  <c r="AK107" i="3" s="1"/>
  <c r="Y107" i="3" s="1"/>
  <c r="AA107" i="3" s="1"/>
  <c r="AB107" i="3" s="1"/>
  <c r="N107" i="3" s="1"/>
  <c r="P107" i="3" s="1"/>
  <c r="Q107" i="3" s="1"/>
  <c r="D107" i="3" s="1"/>
  <c r="AO97" i="3"/>
  <c r="AU97" i="3" s="1"/>
  <c r="AV97" i="3" s="1"/>
  <c r="AH97" i="3" s="1"/>
  <c r="AJ97" i="3" s="1"/>
  <c r="AK97" i="3" s="1"/>
  <c r="Y97" i="3" s="1"/>
  <c r="AA97" i="3" s="1"/>
  <c r="AB97" i="3" s="1"/>
  <c r="N97" i="3" s="1"/>
  <c r="P97" i="3" s="1"/>
  <c r="Q97" i="3" s="1"/>
  <c r="D97" i="3" s="1"/>
  <c r="AR92" i="3"/>
  <c r="AU92" i="3" s="1"/>
  <c r="AV92" i="3" s="1"/>
  <c r="AH92" i="3" s="1"/>
  <c r="AG92" i="3"/>
  <c r="AU84" i="3"/>
  <c r="AV84" i="3" s="1"/>
  <c r="AE84" i="3"/>
  <c r="AJ84" i="3" s="1"/>
  <c r="AK84" i="3" s="1"/>
  <c r="Y84" i="3" s="1"/>
  <c r="X84" i="3"/>
  <c r="W84" i="3"/>
  <c r="AJ81" i="3"/>
  <c r="AK81" i="3" s="1"/>
  <c r="Y81" i="3" s="1"/>
  <c r="X81" i="3"/>
  <c r="AJ70" i="3"/>
  <c r="AK70" i="3" s="1"/>
  <c r="Y70" i="3" s="1"/>
  <c r="S70" i="3"/>
  <c r="L70" i="3"/>
  <c r="AJ69" i="3"/>
  <c r="AK69" i="3" s="1"/>
  <c r="Y69" i="3" s="1"/>
  <c r="S69" i="3"/>
  <c r="AJ64" i="3"/>
  <c r="AK64" i="3" s="1"/>
  <c r="Y64" i="3" s="1"/>
  <c r="X64" i="3"/>
  <c r="V64" i="3"/>
  <c r="U64" i="3"/>
  <c r="AO61" i="3"/>
  <c r="AU61" i="3" s="1"/>
  <c r="AV61" i="3" s="1"/>
  <c r="AH61" i="3" s="1"/>
  <c r="AJ61" i="3" s="1"/>
  <c r="AK61" i="3" s="1"/>
  <c r="Y61" i="3" s="1"/>
  <c r="AA61" i="3" s="1"/>
  <c r="AB61" i="3" s="1"/>
  <c r="N61" i="3" s="1"/>
  <c r="P61" i="3" s="1"/>
  <c r="Q61" i="3" s="1"/>
  <c r="D61" i="3" s="1"/>
  <c r="AF59" i="3"/>
  <c r="AR59" i="3"/>
  <c r="AU59" i="3" s="1"/>
  <c r="AV59" i="3" s="1"/>
  <c r="AH59" i="3" s="1"/>
  <c r="I35" i="3"/>
  <c r="J35" i="3"/>
  <c r="K35" i="3"/>
  <c r="L35" i="3"/>
  <c r="S35" i="3"/>
  <c r="T35" i="3"/>
  <c r="U35" i="3"/>
  <c r="W35" i="3"/>
  <c r="AE35" i="3"/>
  <c r="AF35" i="3"/>
  <c r="AG35" i="3"/>
  <c r="AQ35" i="3"/>
  <c r="AR35" i="3"/>
  <c r="J462" i="3"/>
  <c r="K462" i="3"/>
  <c r="T462" i="3"/>
  <c r="U462" i="3"/>
  <c r="W462" i="3"/>
  <c r="X462" i="3"/>
  <c r="AE462" i="3"/>
  <c r="AG462" i="3"/>
  <c r="AO462" i="3"/>
  <c r="AP462" i="3"/>
  <c r="AQ462" i="3"/>
  <c r="AR462" i="3"/>
  <c r="AO31" i="3"/>
  <c r="AU31" i="3" s="1"/>
  <c r="AV31" i="3" s="1"/>
  <c r="AH31" i="3" s="1"/>
  <c r="AG31" i="3"/>
  <c r="AF31" i="3"/>
  <c r="AE31" i="3"/>
  <c r="X31" i="3"/>
  <c r="W31" i="3"/>
  <c r="V31" i="3"/>
  <c r="T31" i="3"/>
  <c r="L31" i="3"/>
  <c r="K31" i="3"/>
  <c r="J31" i="3"/>
  <c r="I31" i="3"/>
  <c r="AR26" i="3"/>
  <c r="AQ26" i="3"/>
  <c r="AP26" i="3"/>
  <c r="AG26" i="3"/>
  <c r="AF26" i="3"/>
  <c r="AE26" i="3"/>
  <c r="W26" i="3"/>
  <c r="V26" i="3"/>
  <c r="U26" i="3"/>
  <c r="T26" i="3"/>
  <c r="S26" i="3"/>
  <c r="O26" i="3"/>
  <c r="L26" i="3"/>
  <c r="K26" i="3"/>
  <c r="J26" i="3"/>
  <c r="I26" i="3"/>
  <c r="AU383" i="3"/>
  <c r="AV383" i="3" s="1"/>
  <c r="AE383" i="3"/>
  <c r="AJ383" i="3" s="1"/>
  <c r="AK383" i="3" s="1"/>
  <c r="Y383" i="3" s="1"/>
  <c r="X383" i="3"/>
  <c r="W383" i="3"/>
  <c r="V383" i="3"/>
  <c r="U383" i="3"/>
  <c r="T383" i="3"/>
  <c r="S383" i="3"/>
  <c r="L383" i="3"/>
  <c r="K383" i="3"/>
  <c r="J383" i="3"/>
  <c r="I383" i="3"/>
  <c r="AS24" i="3"/>
  <c r="AP24" i="3"/>
  <c r="AO24" i="3"/>
  <c r="AG24" i="3"/>
  <c r="AF24" i="3"/>
  <c r="AE24" i="3"/>
  <c r="X24" i="3"/>
  <c r="W24" i="3"/>
  <c r="V24" i="3"/>
  <c r="L24" i="3"/>
  <c r="K24" i="3"/>
  <c r="J24" i="3"/>
  <c r="I24" i="3"/>
  <c r="AR22" i="3"/>
  <c r="AQ22" i="3"/>
  <c r="AP22" i="3"/>
  <c r="AG22" i="3"/>
  <c r="AF22" i="3"/>
  <c r="AE22" i="3"/>
  <c r="X22" i="3"/>
  <c r="V22" i="3"/>
  <c r="U22" i="3"/>
  <c r="T22" i="3"/>
  <c r="L22" i="3"/>
  <c r="K22" i="3"/>
  <c r="J22" i="3"/>
  <c r="I22" i="3"/>
  <c r="AO21" i="3"/>
  <c r="AN21" i="3"/>
  <c r="AG21" i="3"/>
  <c r="AF21" i="3"/>
  <c r="AE21" i="3"/>
  <c r="X21" i="3"/>
  <c r="W21" i="3"/>
  <c r="V21" i="3"/>
  <c r="L21" i="3"/>
  <c r="K21" i="3"/>
  <c r="J21" i="3"/>
  <c r="I21" i="3"/>
  <c r="J277" i="3"/>
  <c r="K277" i="3"/>
  <c r="L277" i="3"/>
  <c r="M277" i="3"/>
  <c r="S277" i="3"/>
  <c r="T277" i="3"/>
  <c r="V277" i="3"/>
  <c r="W277" i="3"/>
  <c r="X277" i="3"/>
  <c r="AE277" i="3"/>
  <c r="AF277" i="3"/>
  <c r="AG277" i="3"/>
  <c r="AQ277" i="3"/>
  <c r="AU277" i="3" s="1"/>
  <c r="AV277" i="3" s="1"/>
  <c r="AH277" i="3" s="1"/>
  <c r="J227" i="3"/>
  <c r="K227" i="3"/>
  <c r="T227" i="3"/>
  <c r="U227" i="3"/>
  <c r="V227" i="3"/>
  <c r="W227" i="3"/>
  <c r="X227" i="3"/>
  <c r="AE227" i="3"/>
  <c r="AR227" i="3"/>
  <c r="AU227" i="3" s="1"/>
  <c r="AV227" i="3" s="1"/>
  <c r="AH227" i="3" s="1"/>
  <c r="I149" i="3"/>
  <c r="J149" i="3"/>
  <c r="K149" i="3"/>
  <c r="L149" i="3"/>
  <c r="S149" i="3"/>
  <c r="T149" i="3"/>
  <c r="U149" i="3"/>
  <c r="V149" i="3"/>
  <c r="W149" i="3"/>
  <c r="X149" i="3"/>
  <c r="AF149" i="3"/>
  <c r="AJ149" i="3" s="1"/>
  <c r="AK149" i="3" s="1"/>
  <c r="Y149" i="3" s="1"/>
  <c r="AU149" i="3"/>
  <c r="AV149" i="3" s="1"/>
  <c r="I130" i="3"/>
  <c r="J130" i="3"/>
  <c r="K130" i="3"/>
  <c r="L130" i="3"/>
  <c r="O130" i="3"/>
  <c r="S130" i="3"/>
  <c r="T130" i="3"/>
  <c r="U130" i="3"/>
  <c r="V130" i="3"/>
  <c r="W130" i="3"/>
  <c r="X130" i="3"/>
  <c r="AJ130" i="3"/>
  <c r="AK130" i="3" s="1"/>
  <c r="Y130" i="3" s="1"/>
  <c r="AU130" i="3"/>
  <c r="AV130" i="3" s="1"/>
  <c r="I125" i="3"/>
  <c r="J125" i="3"/>
  <c r="K125" i="3"/>
  <c r="L125" i="3"/>
  <c r="S125" i="3"/>
  <c r="T125" i="3"/>
  <c r="U125" i="3"/>
  <c r="V125" i="3"/>
  <c r="W125" i="3"/>
  <c r="X125" i="3"/>
  <c r="AJ125" i="3"/>
  <c r="AK125" i="3" s="1"/>
  <c r="Y125" i="3" s="1"/>
  <c r="AU125" i="3"/>
  <c r="AV125" i="3" s="1"/>
  <c r="W85" i="3"/>
  <c r="X85" i="3"/>
  <c r="AE85" i="3"/>
  <c r="AG85" i="3"/>
  <c r="AU85" i="3"/>
  <c r="AV85" i="3" s="1"/>
  <c r="I198" i="6"/>
  <c r="I219" i="6"/>
  <c r="I300" i="3"/>
  <c r="I303" i="3"/>
  <c r="I8" i="3"/>
  <c r="I32" i="3"/>
  <c r="I19" i="3"/>
  <c r="I15" i="3"/>
  <c r="I23" i="3"/>
  <c r="I27" i="3"/>
  <c r="I12" i="3"/>
  <c r="I28" i="3"/>
  <c r="I6" i="4"/>
  <c r="I30" i="3"/>
  <c r="I29" i="3"/>
  <c r="I34" i="3"/>
  <c r="I16" i="3"/>
  <c r="I9" i="3"/>
  <c r="I319" i="6"/>
  <c r="I316" i="6"/>
  <c r="I249" i="6"/>
  <c r="I312" i="6"/>
  <c r="I260" i="6"/>
  <c r="I311" i="6"/>
  <c r="I315" i="6"/>
  <c r="I13" i="6"/>
  <c r="I317" i="6"/>
  <c r="P317" i="6" s="1"/>
  <c r="Q317" i="6" s="1"/>
  <c r="D317" i="6" s="1"/>
  <c r="I321" i="6"/>
  <c r="I127" i="6"/>
  <c r="I320" i="6"/>
  <c r="I31" i="6"/>
  <c r="I19" i="6"/>
  <c r="I486" i="3"/>
  <c r="I483" i="3"/>
  <c r="I473" i="3"/>
  <c r="I119" i="3"/>
  <c r="I33" i="3"/>
  <c r="I314" i="3"/>
  <c r="I20" i="3"/>
  <c r="I191" i="3"/>
  <c r="I474" i="3"/>
  <c r="I392" i="3"/>
  <c r="I111" i="3"/>
  <c r="I480" i="3"/>
  <c r="I133" i="3"/>
  <c r="I154" i="3"/>
  <c r="I368" i="3"/>
  <c r="I334" i="3"/>
  <c r="I58" i="3"/>
  <c r="I281" i="3"/>
  <c r="I254" i="3"/>
  <c r="I183" i="3"/>
  <c r="I494" i="3"/>
  <c r="I422" i="3"/>
  <c r="I245" i="3"/>
  <c r="I381" i="3"/>
  <c r="I165" i="3"/>
  <c r="I360" i="3"/>
  <c r="I427" i="3"/>
  <c r="I77" i="3"/>
  <c r="I13" i="3"/>
  <c r="I421" i="3"/>
  <c r="I484" i="3"/>
  <c r="I394" i="3"/>
  <c r="I50" i="3"/>
  <c r="I478" i="3"/>
  <c r="I54" i="3"/>
  <c r="I217" i="3"/>
  <c r="I389" i="3"/>
  <c r="I485" i="3"/>
  <c r="I216" i="3"/>
  <c r="I17" i="3"/>
  <c r="I324" i="3"/>
  <c r="I432" i="3"/>
  <c r="I438" i="3"/>
  <c r="I402" i="3"/>
  <c r="I10" i="3"/>
  <c r="I7" i="3"/>
  <c r="I6" i="3"/>
  <c r="I431" i="3"/>
  <c r="I49" i="4"/>
  <c r="I18" i="4"/>
  <c r="I35" i="4"/>
  <c r="I40" i="4"/>
  <c r="I30" i="4"/>
  <c r="I8" i="2"/>
  <c r="I21" i="2"/>
  <c r="I53" i="2"/>
  <c r="P53" i="2" s="1"/>
  <c r="Q53" i="2" s="1"/>
  <c r="D53" i="2" s="1"/>
  <c r="I47" i="2"/>
  <c r="I28" i="2"/>
  <c r="I18" i="2"/>
  <c r="O12" i="5"/>
  <c r="I48" i="5"/>
  <c r="I46" i="5"/>
  <c r="I31" i="5"/>
  <c r="I36" i="5"/>
  <c r="AJ283" i="1"/>
  <c r="AK283" i="1" s="1"/>
  <c r="Y283" i="1" s="1"/>
  <c r="AA283" i="1" s="1"/>
  <c r="AB283" i="1" s="1"/>
  <c r="N283" i="1" s="1"/>
  <c r="P283" i="1" s="1"/>
  <c r="Q283" i="1" s="1"/>
  <c r="AU283" i="1"/>
  <c r="AV283" i="1" s="1"/>
  <c r="I29" i="5"/>
  <c r="I53" i="5"/>
  <c r="I30" i="5"/>
  <c r="I47" i="5"/>
  <c r="I33" i="5"/>
  <c r="I12" i="5"/>
  <c r="I19" i="5"/>
  <c r="I22" i="5"/>
  <c r="I42" i="5"/>
  <c r="I17" i="5"/>
  <c r="I81" i="5"/>
  <c r="P81" i="5" s="1"/>
  <c r="I78" i="5"/>
  <c r="P78" i="5" s="1"/>
  <c r="I61" i="5"/>
  <c r="P61" i="5" s="1"/>
  <c r="I66" i="5"/>
  <c r="P66" i="5" s="1"/>
  <c r="I75" i="5"/>
  <c r="P75" i="5" s="1"/>
  <c r="I60" i="5"/>
  <c r="P60" i="5" s="1"/>
  <c r="I80" i="5"/>
  <c r="P80" i="5" s="1"/>
  <c r="I55" i="5"/>
  <c r="P55" i="5" s="1"/>
  <c r="I64" i="5"/>
  <c r="P64" i="5" s="1"/>
  <c r="I70" i="5"/>
  <c r="P70" i="5" s="1"/>
  <c r="I57" i="5"/>
  <c r="P57" i="5" s="1"/>
  <c r="I65" i="5"/>
  <c r="P65" i="5" s="1"/>
  <c r="I56" i="5"/>
  <c r="P56" i="5" s="1"/>
  <c r="I58" i="5"/>
  <c r="P58" i="5" s="1"/>
  <c r="I76" i="5"/>
  <c r="P76" i="5" s="1"/>
  <c r="I82" i="5"/>
  <c r="P82" i="5" s="1"/>
  <c r="I74" i="5"/>
  <c r="P74" i="5" s="1"/>
  <c r="I62" i="5"/>
  <c r="P62" i="5" s="1"/>
  <c r="I24" i="5"/>
  <c r="I15" i="5"/>
  <c r="AJ471" i="3"/>
  <c r="AK471" i="3" s="1"/>
  <c r="Y471" i="3" s="1"/>
  <c r="AA471" i="3" s="1"/>
  <c r="AB471" i="3" s="1"/>
  <c r="N471" i="3" s="1"/>
  <c r="P471" i="3" s="1"/>
  <c r="Q471" i="3" s="1"/>
  <c r="K26" i="1"/>
  <c r="J30" i="3"/>
  <c r="K98" i="1"/>
  <c r="K232" i="1"/>
  <c r="K105" i="1"/>
  <c r="K51" i="1"/>
  <c r="K116" i="1"/>
  <c r="K135" i="1"/>
  <c r="K215" i="1"/>
  <c r="K278" i="1"/>
  <c r="K254" i="1"/>
  <c r="K192" i="1"/>
  <c r="K214" i="1"/>
  <c r="K171" i="1"/>
  <c r="K146" i="1"/>
  <c r="K152" i="1"/>
  <c r="K235" i="1"/>
  <c r="K74" i="1"/>
  <c r="K40" i="1"/>
  <c r="K151" i="1"/>
  <c r="K107" i="1"/>
  <c r="K197" i="1"/>
  <c r="K65" i="1"/>
  <c r="K30" i="1"/>
  <c r="K91" i="1"/>
  <c r="K12" i="1"/>
  <c r="K27" i="1"/>
  <c r="K279" i="1"/>
  <c r="K25" i="1"/>
  <c r="K8" i="1"/>
  <c r="K18" i="1"/>
  <c r="K7" i="1"/>
  <c r="J112" i="3"/>
  <c r="J381" i="3"/>
  <c r="J32" i="3"/>
  <c r="J87" i="3"/>
  <c r="J86" i="3"/>
  <c r="J242" i="3"/>
  <c r="J89" i="3"/>
  <c r="J52" i="6"/>
  <c r="J198" i="6"/>
  <c r="J219" i="6"/>
  <c r="J194" i="3"/>
  <c r="J398" i="3"/>
  <c r="O168" i="1"/>
  <c r="J422" i="3"/>
  <c r="J432" i="3"/>
  <c r="J394" i="3"/>
  <c r="J19" i="3"/>
  <c r="J15" i="3"/>
  <c r="J7" i="3"/>
  <c r="J27" i="3"/>
  <c r="J12" i="3"/>
  <c r="J28" i="3"/>
  <c r="J6" i="4"/>
  <c r="J30" i="2"/>
  <c r="J21" i="2"/>
  <c r="J8" i="2"/>
  <c r="J17" i="1"/>
  <c r="J15" i="1"/>
  <c r="J10" i="1"/>
  <c r="J20" i="1"/>
  <c r="J19" i="1"/>
  <c r="J9" i="1"/>
  <c r="J16" i="1"/>
  <c r="J24" i="1"/>
  <c r="J215" i="1"/>
  <c r="J40" i="1"/>
  <c r="J141" i="1"/>
  <c r="J105" i="1"/>
  <c r="J25" i="5"/>
  <c r="J192" i="1"/>
  <c r="J28" i="2"/>
  <c r="J91" i="1"/>
  <c r="J254" i="1"/>
  <c r="J8" i="1"/>
  <c r="J18" i="1"/>
  <c r="J12" i="1"/>
  <c r="J47" i="1"/>
  <c r="J27" i="1"/>
  <c r="J7" i="1"/>
  <c r="J26" i="1"/>
  <c r="J58" i="1"/>
  <c r="J51" i="2"/>
  <c r="J86" i="1"/>
  <c r="J43" i="4"/>
  <c r="J30" i="4"/>
  <c r="J50" i="1"/>
  <c r="J132" i="1"/>
  <c r="J342" i="1"/>
  <c r="J351" i="1"/>
  <c r="J284" i="1"/>
  <c r="J352" i="1"/>
  <c r="J288" i="1"/>
  <c r="J353" i="1"/>
  <c r="J356" i="1"/>
  <c r="J339" i="1"/>
  <c r="J271" i="1"/>
  <c r="J63" i="1"/>
  <c r="J36" i="1"/>
  <c r="J155" i="1"/>
  <c r="J267" i="1"/>
  <c r="J268" i="1"/>
  <c r="J174" i="1"/>
  <c r="J253" i="1"/>
  <c r="J136" i="1"/>
  <c r="J9" i="3"/>
  <c r="J16" i="3"/>
  <c r="J29" i="3"/>
  <c r="J34" i="3"/>
  <c r="J20" i="3"/>
  <c r="J18" i="3"/>
  <c r="J40" i="5"/>
  <c r="J42" i="5"/>
  <c r="J48" i="5"/>
  <c r="J46" i="5"/>
  <c r="J69" i="5"/>
  <c r="P69" i="5" s="1"/>
  <c r="J67" i="5"/>
  <c r="P67" i="5" s="1"/>
  <c r="J31" i="5"/>
  <c r="J191" i="3"/>
  <c r="J43" i="3"/>
  <c r="J54" i="3"/>
  <c r="J183" i="3"/>
  <c r="J119" i="3"/>
  <c r="J152" i="3"/>
  <c r="J75" i="3"/>
  <c r="J77" i="3"/>
  <c r="J390" i="3"/>
  <c r="J33" i="3"/>
  <c r="J18" i="4"/>
  <c r="J340" i="3"/>
  <c r="J324" i="3"/>
  <c r="J28" i="4"/>
  <c r="J251" i="3"/>
  <c r="J478" i="3"/>
  <c r="J276" i="3"/>
  <c r="J486" i="3"/>
  <c r="J165" i="3"/>
  <c r="J281" i="3"/>
  <c r="J360" i="3"/>
  <c r="J254" i="3"/>
  <c r="J24" i="5"/>
  <c r="J15" i="5"/>
  <c r="J32" i="5"/>
  <c r="J315" i="6"/>
  <c r="J251" i="6"/>
  <c r="J249" i="6"/>
  <c r="J41" i="6"/>
  <c r="J91" i="6"/>
  <c r="J321" i="6"/>
  <c r="J122" i="6"/>
  <c r="J19" i="6"/>
  <c r="J29" i="5"/>
  <c r="J28" i="5"/>
  <c r="J33" i="5"/>
  <c r="J53" i="5"/>
  <c r="J18" i="5"/>
  <c r="J36" i="5"/>
  <c r="J83" i="5"/>
  <c r="P83" i="5" s="1"/>
  <c r="J19" i="5"/>
  <c r="J428" i="3"/>
  <c r="J473" i="3"/>
  <c r="J133" i="1"/>
  <c r="J21" i="1"/>
  <c r="J22" i="1"/>
  <c r="J6" i="1"/>
  <c r="J28" i="1"/>
  <c r="P13" i="8" l="1"/>
  <c r="Q13" i="8" s="1"/>
  <c r="D13" i="8" s="1"/>
  <c r="P162" i="6"/>
  <c r="Q162" i="6" s="1"/>
  <c r="D162" i="6" s="1"/>
  <c r="P319" i="6"/>
  <c r="Q319" i="6" s="1"/>
  <c r="D319" i="6" s="1"/>
  <c r="P49" i="4"/>
  <c r="Q49" i="4" s="1"/>
  <c r="D49" i="4" s="1"/>
  <c r="P156" i="6"/>
  <c r="Q156" i="6" s="1"/>
  <c r="D156" i="6" s="1"/>
  <c r="P316" i="6"/>
  <c r="Q316" i="6" s="1"/>
  <c r="D316" i="6" s="1"/>
  <c r="P315" i="6"/>
  <c r="Q315" i="6" s="1"/>
  <c r="D315" i="6" s="1"/>
  <c r="P75" i="6"/>
  <c r="Q75" i="6" s="1"/>
  <c r="D75" i="6" s="1"/>
  <c r="P205" i="6"/>
  <c r="Q205" i="6" s="1"/>
  <c r="D205" i="6" s="1"/>
  <c r="P78" i="6"/>
  <c r="Q78" i="6" s="1"/>
  <c r="D78" i="6" s="1"/>
  <c r="P285" i="3"/>
  <c r="Q285" i="3" s="1"/>
  <c r="D285" i="3" s="1"/>
  <c r="P480" i="3"/>
  <c r="Q480" i="3" s="1"/>
  <c r="D480" i="3" s="1"/>
  <c r="P309" i="6"/>
  <c r="Q309" i="6" s="1"/>
  <c r="D309" i="6" s="1"/>
  <c r="P46" i="6"/>
  <c r="Q46" i="6" s="1"/>
  <c r="D46" i="6" s="1"/>
  <c r="P442" i="3"/>
  <c r="Q442" i="3" s="1"/>
  <c r="D442" i="3" s="1"/>
  <c r="P286" i="3"/>
  <c r="Q286" i="3" s="1"/>
  <c r="D286" i="3" s="1"/>
  <c r="P488" i="3"/>
  <c r="Q488" i="3" s="1"/>
  <c r="D488" i="3" s="1"/>
  <c r="P321" i="3"/>
  <c r="Q321" i="3" s="1"/>
  <c r="D321" i="3" s="1"/>
  <c r="P53" i="5"/>
  <c r="Q53" i="5" s="1"/>
  <c r="D53" i="5" s="1"/>
  <c r="Q78" i="5"/>
  <c r="D78" i="5" s="1"/>
  <c r="Q81" i="5"/>
  <c r="D81" i="5" s="1"/>
  <c r="Q62" i="5"/>
  <c r="D62" i="5" s="1"/>
  <c r="Q64" i="5"/>
  <c r="D64" i="5" s="1"/>
  <c r="Q80" i="5"/>
  <c r="D80" i="5" s="1"/>
  <c r="Q67" i="5"/>
  <c r="D67" i="5" s="1"/>
  <c r="Q60" i="5"/>
  <c r="D60" i="5" s="1"/>
  <c r="Q69" i="5"/>
  <c r="D69" i="5" s="1"/>
  <c r="Q75" i="5"/>
  <c r="D75" i="5" s="1"/>
  <c r="Q55" i="5"/>
  <c r="D55" i="5" s="1"/>
  <c r="Q74" i="5"/>
  <c r="D74" i="5" s="1"/>
  <c r="Q66" i="5"/>
  <c r="D66" i="5" s="1"/>
  <c r="Q76" i="5"/>
  <c r="D76" i="5" s="1"/>
  <c r="Q58" i="5"/>
  <c r="D58" i="5" s="1"/>
  <c r="Q57" i="5"/>
  <c r="D57" i="5" s="1"/>
  <c r="Q82" i="5"/>
  <c r="D82" i="5" s="1"/>
  <c r="Q70" i="5"/>
  <c r="D70" i="5" s="1"/>
  <c r="Q61" i="5"/>
  <c r="D61" i="5" s="1"/>
  <c r="Q56" i="5"/>
  <c r="D56" i="5" s="1"/>
  <c r="Q83" i="5"/>
  <c r="D83" i="5" s="1"/>
  <c r="Q65" i="5"/>
  <c r="D65" i="5" s="1"/>
  <c r="AA210" i="1"/>
  <c r="AB210" i="1" s="1"/>
  <c r="N210" i="1" s="1"/>
  <c r="P210" i="1" s="1"/>
  <c r="Q210" i="1" s="1"/>
  <c r="D210" i="1" s="1"/>
  <c r="AU33" i="8"/>
  <c r="AV33" i="8" s="1"/>
  <c r="AH33" i="8" s="1"/>
  <c r="AJ33" i="8" s="1"/>
  <c r="AK33" i="8" s="1"/>
  <c r="Y33" i="8" s="1"/>
  <c r="AA33" i="8" s="1"/>
  <c r="AB33" i="8" s="1"/>
  <c r="N33" i="8" s="1"/>
  <c r="P33" i="8" s="1"/>
  <c r="Q33" i="8" s="1"/>
  <c r="D33" i="8" s="1"/>
  <c r="P321" i="6"/>
  <c r="Q321" i="6" s="1"/>
  <c r="D321" i="6" s="1"/>
  <c r="P469" i="3"/>
  <c r="Q469" i="3" s="1"/>
  <c r="D469" i="3" s="1"/>
  <c r="P485" i="3"/>
  <c r="Q485" i="3" s="1"/>
  <c r="D485" i="3" s="1"/>
  <c r="P51" i="2"/>
  <c r="Q51" i="2" s="1"/>
  <c r="D51" i="2" s="1"/>
  <c r="P47" i="2"/>
  <c r="Q47" i="2" s="1"/>
  <c r="D47" i="2" s="1"/>
  <c r="P235" i="1"/>
  <c r="Q235" i="1" s="1"/>
  <c r="D235" i="1" s="1"/>
  <c r="P325" i="1"/>
  <c r="Q325" i="1" s="1"/>
  <c r="D325" i="1" s="1"/>
  <c r="P288" i="1"/>
  <c r="Q288" i="1" s="1"/>
  <c r="D288" i="1" s="1"/>
  <c r="P352" i="1"/>
  <c r="Q352" i="1" s="1"/>
  <c r="D352" i="1" s="1"/>
  <c r="P319" i="1"/>
  <c r="Q319" i="1" s="1"/>
  <c r="D319" i="1" s="1"/>
  <c r="P351" i="1"/>
  <c r="Q351" i="1" s="1"/>
  <c r="D351" i="1" s="1"/>
  <c r="P295" i="1"/>
  <c r="Q295" i="1" s="1"/>
  <c r="D295" i="1" s="1"/>
  <c r="P332" i="1"/>
  <c r="Q332" i="1" s="1"/>
  <c r="D332" i="1" s="1"/>
  <c r="P345" i="1"/>
  <c r="Q345" i="1" s="1"/>
  <c r="D345" i="1" s="1"/>
  <c r="P305" i="1"/>
  <c r="Q305" i="1" s="1"/>
  <c r="D305" i="1" s="1"/>
  <c r="P290" i="1"/>
  <c r="Q290" i="1" s="1"/>
  <c r="D290" i="1" s="1"/>
  <c r="P355" i="1"/>
  <c r="Q355" i="1" s="1"/>
  <c r="D355" i="1" s="1"/>
  <c r="P329" i="1"/>
  <c r="Q329" i="1" s="1"/>
  <c r="D329" i="1" s="1"/>
  <c r="P346" i="1"/>
  <c r="Q346" i="1" s="1"/>
  <c r="D346" i="1" s="1"/>
  <c r="P331" i="1"/>
  <c r="Q331" i="1" s="1"/>
  <c r="D331" i="1" s="1"/>
  <c r="P353" i="1"/>
  <c r="Q353" i="1" s="1"/>
  <c r="D353" i="1" s="1"/>
  <c r="P344" i="1"/>
  <c r="Q344" i="1" s="1"/>
  <c r="D344" i="1" s="1"/>
  <c r="P51" i="1"/>
  <c r="Q51" i="1" s="1"/>
  <c r="D51" i="1" s="1"/>
  <c r="P292" i="1"/>
  <c r="Q292" i="1" s="1"/>
  <c r="D292" i="1" s="1"/>
  <c r="P299" i="1"/>
  <c r="Q299" i="1" s="1"/>
  <c r="D299" i="1" s="1"/>
  <c r="P308" i="1"/>
  <c r="Q308" i="1" s="1"/>
  <c r="D308" i="1" s="1"/>
  <c r="P341" i="1"/>
  <c r="Q341" i="1" s="1"/>
  <c r="D341" i="1" s="1"/>
  <c r="P349" i="1"/>
  <c r="Q349" i="1" s="1"/>
  <c r="D349" i="1" s="1"/>
  <c r="P318" i="1"/>
  <c r="Q318" i="1" s="1"/>
  <c r="D318" i="1" s="1"/>
  <c r="AJ32" i="8"/>
  <c r="AK32" i="8" s="1"/>
  <c r="Y32" i="8" s="1"/>
  <c r="AA32" i="8" s="1"/>
  <c r="AB32" i="8" s="1"/>
  <c r="N32" i="8" s="1"/>
  <c r="P32" i="8" s="1"/>
  <c r="Q32" i="8" s="1"/>
  <c r="D32" i="8" s="1"/>
  <c r="AU26" i="8"/>
  <c r="AV26" i="8" s="1"/>
  <c r="AH26" i="8" s="1"/>
  <c r="AJ26" i="8" s="1"/>
  <c r="AK26" i="8" s="1"/>
  <c r="Y26" i="8" s="1"/>
  <c r="AA26" i="8" s="1"/>
  <c r="AB26" i="8" s="1"/>
  <c r="N26" i="8" s="1"/>
  <c r="P26" i="8" s="1"/>
  <c r="Q26" i="8" s="1"/>
  <c r="D26" i="8" s="1"/>
  <c r="N267" i="6"/>
  <c r="P267" i="6" s="1"/>
  <c r="Q267" i="6" s="1"/>
  <c r="D267" i="6" s="1"/>
  <c r="N244" i="6"/>
  <c r="P244" i="6" s="1"/>
  <c r="Q244" i="6" s="1"/>
  <c r="D244" i="6" s="1"/>
  <c r="N210" i="6"/>
  <c r="P210" i="6" s="1"/>
  <c r="Q210" i="6" s="1"/>
  <c r="D210" i="6" s="1"/>
  <c r="N191" i="6"/>
  <c r="P191" i="6" s="1"/>
  <c r="Q191" i="6" s="1"/>
  <c r="D191" i="6" s="1"/>
  <c r="N180" i="6"/>
  <c r="P180" i="6" s="1"/>
  <c r="Q180" i="6" s="1"/>
  <c r="D180" i="6" s="1"/>
  <c r="N126" i="6"/>
  <c r="P126" i="6" s="1"/>
  <c r="Q126" i="6" s="1"/>
  <c r="D126" i="6" s="1"/>
  <c r="N105" i="6"/>
  <c r="P105" i="6" s="1"/>
  <c r="Q105" i="6" s="1"/>
  <c r="D105" i="6" s="1"/>
  <c r="N87" i="6"/>
  <c r="P87" i="6" s="1"/>
  <c r="Q87" i="6" s="1"/>
  <c r="D87" i="6" s="1"/>
  <c r="N178" i="6"/>
  <c r="P178" i="6" s="1"/>
  <c r="Q178" i="6" s="1"/>
  <c r="D178" i="6" s="1"/>
  <c r="N101" i="6"/>
  <c r="P101" i="6" s="1"/>
  <c r="Q101" i="6" s="1"/>
  <c r="D101" i="6" s="1"/>
  <c r="N99" i="6"/>
  <c r="P99" i="6" s="1"/>
  <c r="Q99" i="6" s="1"/>
  <c r="D99" i="6" s="1"/>
  <c r="N224" i="6"/>
  <c r="P224" i="6" s="1"/>
  <c r="Q224" i="6" s="1"/>
  <c r="D224" i="6" s="1"/>
  <c r="N133" i="6"/>
  <c r="P133" i="6" s="1"/>
  <c r="Q133" i="6" s="1"/>
  <c r="D133" i="6" s="1"/>
  <c r="N275" i="6"/>
  <c r="P275" i="6" s="1"/>
  <c r="Q275" i="6" s="1"/>
  <c r="D275" i="6" s="1"/>
  <c r="N170" i="6"/>
  <c r="P170" i="6" s="1"/>
  <c r="Q170" i="6" s="1"/>
  <c r="D170" i="6" s="1"/>
  <c r="N148" i="6"/>
  <c r="P148" i="6" s="1"/>
  <c r="Q148" i="6" s="1"/>
  <c r="D148" i="6" s="1"/>
  <c r="N204" i="6"/>
  <c r="P204" i="6" s="1"/>
  <c r="Q204" i="6" s="1"/>
  <c r="D204" i="6" s="1"/>
  <c r="N129" i="6"/>
  <c r="P129" i="6" s="1"/>
  <c r="Q129" i="6" s="1"/>
  <c r="D129" i="6" s="1"/>
  <c r="N304" i="6"/>
  <c r="P304" i="6" s="1"/>
  <c r="Q304" i="6" s="1"/>
  <c r="D304" i="6" s="1"/>
  <c r="N19" i="4"/>
  <c r="P19" i="4" s="1"/>
  <c r="Q19" i="4" s="1"/>
  <c r="D19" i="4" s="1"/>
  <c r="N11" i="4"/>
  <c r="P11" i="4" s="1"/>
  <c r="Q11" i="4" s="1"/>
  <c r="D11" i="4" s="1"/>
  <c r="N27" i="4"/>
  <c r="P27" i="4" s="1"/>
  <c r="Q27" i="4" s="1"/>
  <c r="D27" i="4" s="1"/>
  <c r="P402" i="3"/>
  <c r="Q402" i="3" s="1"/>
  <c r="D402" i="3" s="1"/>
  <c r="P435" i="3"/>
  <c r="Q435" i="3" s="1"/>
  <c r="D435" i="3" s="1"/>
  <c r="P135" i="3"/>
  <c r="Q135" i="3" s="1"/>
  <c r="D135" i="3" s="1"/>
  <c r="P80" i="3"/>
  <c r="Q80" i="3" s="1"/>
  <c r="D80" i="3" s="1"/>
  <c r="P484" i="3"/>
  <c r="Q484" i="3" s="1"/>
  <c r="D484" i="3" s="1"/>
  <c r="P474" i="3"/>
  <c r="Q474" i="3" s="1"/>
  <c r="D474" i="3" s="1"/>
  <c r="P369" i="3"/>
  <c r="Q369" i="3" s="1"/>
  <c r="D369" i="3" s="1"/>
  <c r="P339" i="1"/>
  <c r="Q339" i="1" s="1"/>
  <c r="D339" i="1" s="1"/>
  <c r="P294" i="1"/>
  <c r="Q294" i="1" s="1"/>
  <c r="D294" i="1" s="1"/>
  <c r="P284" i="1"/>
  <c r="Q284" i="1" s="1"/>
  <c r="D284" i="1" s="1"/>
  <c r="P304" i="1"/>
  <c r="Q304" i="1" s="1"/>
  <c r="D304" i="1" s="1"/>
  <c r="P494" i="3"/>
  <c r="Q494" i="3" s="1"/>
  <c r="D494" i="3" s="1"/>
  <c r="P387" i="3"/>
  <c r="Q387" i="3" s="1"/>
  <c r="D387" i="3" s="1"/>
  <c r="P393" i="3"/>
  <c r="Q393" i="3" s="1"/>
  <c r="D393" i="3" s="1"/>
  <c r="P342" i="1"/>
  <c r="Q342" i="1" s="1"/>
  <c r="D342" i="1" s="1"/>
  <c r="P331" i="3"/>
  <c r="Q331" i="3" s="1"/>
  <c r="D331" i="3" s="1"/>
  <c r="P478" i="3"/>
  <c r="Q478" i="3" s="1"/>
  <c r="D478" i="3" s="1"/>
  <c r="P171" i="3"/>
  <c r="Q171" i="3" s="1"/>
  <c r="D171" i="3" s="1"/>
  <c r="P397" i="3"/>
  <c r="Q397" i="3" s="1"/>
  <c r="D397" i="3" s="1"/>
  <c r="P302" i="1"/>
  <c r="Q302" i="1" s="1"/>
  <c r="D302" i="1" s="1"/>
  <c r="P483" i="3"/>
  <c r="Q483" i="3" s="1"/>
  <c r="D483" i="3" s="1"/>
  <c r="P224" i="3"/>
  <c r="Q224" i="3" s="1"/>
  <c r="D224" i="3" s="1"/>
  <c r="P486" i="3"/>
  <c r="Q486" i="3" s="1"/>
  <c r="D486" i="3" s="1"/>
  <c r="P239" i="3"/>
  <c r="Q239" i="3" s="1"/>
  <c r="D239" i="3" s="1"/>
  <c r="P361" i="3"/>
  <c r="Q361" i="3" s="1"/>
  <c r="D361" i="3" s="1"/>
  <c r="P473" i="3"/>
  <c r="Q473" i="3" s="1"/>
  <c r="D473" i="3" s="1"/>
  <c r="P116" i="1"/>
  <c r="Q116" i="1" s="1"/>
  <c r="D116" i="1" s="1"/>
  <c r="P315" i="1"/>
  <c r="Q315" i="1" s="1"/>
  <c r="D315" i="1" s="1"/>
  <c r="P301" i="1"/>
  <c r="Q301" i="1" s="1"/>
  <c r="D301" i="1" s="1"/>
  <c r="P58" i="1"/>
  <c r="Q58" i="1" s="1"/>
  <c r="D58" i="1" s="1"/>
  <c r="P291" i="1"/>
  <c r="Q291" i="1" s="1"/>
  <c r="D291" i="1" s="1"/>
  <c r="P338" i="1"/>
  <c r="Q338" i="1" s="1"/>
  <c r="D338" i="1" s="1"/>
  <c r="P316" i="1"/>
  <c r="Q316" i="1" s="1"/>
  <c r="D316" i="1" s="1"/>
  <c r="P215" i="1"/>
  <c r="Q215" i="1" s="1"/>
  <c r="D215" i="1" s="1"/>
  <c r="P348" i="1"/>
  <c r="Q348" i="1" s="1"/>
  <c r="D348" i="1" s="1"/>
  <c r="P356" i="1"/>
  <c r="Q356" i="1" s="1"/>
  <c r="D356" i="1" s="1"/>
  <c r="P300" i="1"/>
  <c r="Q300" i="1" s="1"/>
  <c r="D300" i="1" s="1"/>
  <c r="AJ28" i="8"/>
  <c r="AK28" i="8" s="1"/>
  <c r="Y28" i="8" s="1"/>
  <c r="AA28" i="8" s="1"/>
  <c r="AB28" i="8" s="1"/>
  <c r="N28" i="8" s="1"/>
  <c r="P28" i="8" s="1"/>
  <c r="Q28" i="8" s="1"/>
  <c r="D28" i="8" s="1"/>
  <c r="AA34" i="4"/>
  <c r="AB34" i="4" s="1"/>
  <c r="AA36" i="4"/>
  <c r="AB36" i="4" s="1"/>
  <c r="AA44" i="4"/>
  <c r="AB44" i="4" s="1"/>
  <c r="AA297" i="6"/>
  <c r="AB297" i="6" s="1"/>
  <c r="AA307" i="6"/>
  <c r="AB307" i="6" s="1"/>
  <c r="AA310" i="6"/>
  <c r="AB310" i="6" s="1"/>
  <c r="AA286" i="6"/>
  <c r="AB286" i="6" s="1"/>
  <c r="AA278" i="6"/>
  <c r="AB278" i="6" s="1"/>
  <c r="AU270" i="6"/>
  <c r="AV270" i="6" s="1"/>
  <c r="AH270" i="6" s="1"/>
  <c r="AJ270" i="6" s="1"/>
  <c r="AK270" i="6" s="1"/>
  <c r="Y270" i="6" s="1"/>
  <c r="AA270" i="6" s="1"/>
  <c r="AB270" i="6" s="1"/>
  <c r="AU252" i="6"/>
  <c r="AV252" i="6" s="1"/>
  <c r="AH252" i="6" s="1"/>
  <c r="AJ252" i="6" s="1"/>
  <c r="AK252" i="6" s="1"/>
  <c r="Y252" i="6" s="1"/>
  <c r="AA252" i="6" s="1"/>
  <c r="AB252" i="6" s="1"/>
  <c r="AU255" i="6"/>
  <c r="AV255" i="6" s="1"/>
  <c r="AH255" i="6" s="1"/>
  <c r="AJ255" i="6" s="1"/>
  <c r="AK255" i="6" s="1"/>
  <c r="Y255" i="6" s="1"/>
  <c r="AA255" i="6" s="1"/>
  <c r="AB255" i="6" s="1"/>
  <c r="AJ264" i="6"/>
  <c r="AK264" i="6" s="1"/>
  <c r="Y264" i="6" s="1"/>
  <c r="AA264" i="6" s="1"/>
  <c r="AB264" i="6" s="1"/>
  <c r="AA257" i="6"/>
  <c r="AB257" i="6" s="1"/>
  <c r="AA256" i="6"/>
  <c r="AB256" i="6" s="1"/>
  <c r="AA246" i="6"/>
  <c r="AB246" i="6" s="1"/>
  <c r="AA239" i="6"/>
  <c r="AB239" i="6" s="1"/>
  <c r="AU240" i="6"/>
  <c r="AV240" i="6" s="1"/>
  <c r="AH240" i="6" s="1"/>
  <c r="AJ240" i="6" s="1"/>
  <c r="AK240" i="6" s="1"/>
  <c r="Y240" i="6" s="1"/>
  <c r="AA240" i="6" s="1"/>
  <c r="AB240" i="6" s="1"/>
  <c r="AA243" i="6"/>
  <c r="AB243" i="6" s="1"/>
  <c r="AU231" i="6"/>
  <c r="AV231" i="6" s="1"/>
  <c r="AH231" i="6" s="1"/>
  <c r="AJ231" i="6" s="1"/>
  <c r="AK231" i="6" s="1"/>
  <c r="Y231" i="6" s="1"/>
  <c r="AA231" i="6" s="1"/>
  <c r="AB231" i="6" s="1"/>
  <c r="AJ230" i="6"/>
  <c r="AK230" i="6" s="1"/>
  <c r="Y230" i="6" s="1"/>
  <c r="AA230" i="6" s="1"/>
  <c r="AB230" i="6" s="1"/>
  <c r="AJ227" i="6"/>
  <c r="AK227" i="6" s="1"/>
  <c r="Y227" i="6" s="1"/>
  <c r="AA227" i="6" s="1"/>
  <c r="AB227" i="6" s="1"/>
  <c r="AJ212" i="6"/>
  <c r="AK212" i="6" s="1"/>
  <c r="Y212" i="6" s="1"/>
  <c r="AA212" i="6" s="1"/>
  <c r="AB212" i="6" s="1"/>
  <c r="AJ213" i="6"/>
  <c r="AK213" i="6" s="1"/>
  <c r="Y213" i="6" s="1"/>
  <c r="AA213" i="6" s="1"/>
  <c r="AB213" i="6" s="1"/>
  <c r="AA207" i="6"/>
  <c r="AB207" i="6" s="1"/>
  <c r="AJ201" i="6"/>
  <c r="AK201" i="6" s="1"/>
  <c r="Y201" i="6" s="1"/>
  <c r="AA201" i="6" s="1"/>
  <c r="AB201" i="6" s="1"/>
  <c r="AJ199" i="6"/>
  <c r="AK199" i="6" s="1"/>
  <c r="Y199" i="6" s="1"/>
  <c r="AA199" i="6" s="1"/>
  <c r="AB199" i="6" s="1"/>
  <c r="AA200" i="6"/>
  <c r="AB200" i="6" s="1"/>
  <c r="AA186" i="6"/>
  <c r="AB186" i="6" s="1"/>
  <c r="AJ175" i="6"/>
  <c r="AK175" i="6" s="1"/>
  <c r="Y175" i="6" s="1"/>
  <c r="AA175" i="6" s="1"/>
  <c r="AB175" i="6" s="1"/>
  <c r="AV144" i="6"/>
  <c r="AH144" i="6" s="1"/>
  <c r="AJ144" i="6" s="1"/>
  <c r="AK144" i="6" s="1"/>
  <c r="Y144" i="6" s="1"/>
  <c r="AA144" i="6" s="1"/>
  <c r="AB144" i="6" s="1"/>
  <c r="AA172" i="6"/>
  <c r="AB172" i="6" s="1"/>
  <c r="AU165" i="6"/>
  <c r="AV165" i="6" s="1"/>
  <c r="AH165" i="6" s="1"/>
  <c r="AJ165" i="6" s="1"/>
  <c r="AK165" i="6" s="1"/>
  <c r="Y165" i="6" s="1"/>
  <c r="AA165" i="6" s="1"/>
  <c r="AB165" i="6" s="1"/>
  <c r="AA169" i="6"/>
  <c r="AB169" i="6" s="1"/>
  <c r="AJ152" i="6"/>
  <c r="AK152" i="6" s="1"/>
  <c r="Y152" i="6" s="1"/>
  <c r="AA152" i="6" s="1"/>
  <c r="AB152" i="6" s="1"/>
  <c r="AU142" i="6"/>
  <c r="AV142" i="6" s="1"/>
  <c r="AH142" i="6" s="1"/>
  <c r="AJ142" i="6" s="1"/>
  <c r="AK142" i="6" s="1"/>
  <c r="Y142" i="6" s="1"/>
  <c r="AA142" i="6" s="1"/>
  <c r="AB142" i="6" s="1"/>
  <c r="AU135" i="6"/>
  <c r="AV135" i="6" s="1"/>
  <c r="AH135" i="6" s="1"/>
  <c r="AJ135" i="6" s="1"/>
  <c r="AK135" i="6" s="1"/>
  <c r="Y135" i="6" s="1"/>
  <c r="AA135" i="6" s="1"/>
  <c r="AB135" i="6" s="1"/>
  <c r="AU109" i="6"/>
  <c r="AV109" i="6" s="1"/>
  <c r="AH109" i="6" s="1"/>
  <c r="AJ109" i="6" s="1"/>
  <c r="AK109" i="6" s="1"/>
  <c r="Y109" i="6" s="1"/>
  <c r="AA109" i="6" s="1"/>
  <c r="AB109" i="6" s="1"/>
  <c r="AU124" i="6"/>
  <c r="AV124" i="6" s="1"/>
  <c r="AH124" i="6" s="1"/>
  <c r="AJ124" i="6" s="1"/>
  <c r="AK124" i="6" s="1"/>
  <c r="Y124" i="6" s="1"/>
  <c r="AA124" i="6" s="1"/>
  <c r="AB124" i="6" s="1"/>
  <c r="AA106" i="6"/>
  <c r="AB106" i="6" s="1"/>
  <c r="AA98" i="6"/>
  <c r="AB98" i="6" s="1"/>
  <c r="AU95" i="6"/>
  <c r="AV95" i="6" s="1"/>
  <c r="AH95" i="6" s="1"/>
  <c r="AJ95" i="6" s="1"/>
  <c r="AK95" i="6" s="1"/>
  <c r="Y95" i="6" s="1"/>
  <c r="AA95" i="6" s="1"/>
  <c r="AB95" i="6" s="1"/>
  <c r="AA83" i="6"/>
  <c r="AB83" i="6" s="1"/>
  <c r="AJ94" i="6"/>
  <c r="AK94" i="6" s="1"/>
  <c r="Y94" i="6" s="1"/>
  <c r="AA94" i="6" s="1"/>
  <c r="AB94" i="6" s="1"/>
  <c r="AU69" i="6"/>
  <c r="AV69" i="6" s="1"/>
  <c r="AH69" i="6" s="1"/>
  <c r="AJ69" i="6" s="1"/>
  <c r="AK69" i="6" s="1"/>
  <c r="Y69" i="6" s="1"/>
  <c r="AA69" i="6" s="1"/>
  <c r="AB69" i="6" s="1"/>
  <c r="AU64" i="6"/>
  <c r="AV64" i="6" s="1"/>
  <c r="AH64" i="6" s="1"/>
  <c r="AJ64" i="6" s="1"/>
  <c r="AK64" i="6" s="1"/>
  <c r="Y64" i="6" s="1"/>
  <c r="AA64" i="6" s="1"/>
  <c r="AB64" i="6" s="1"/>
  <c r="AU58" i="6"/>
  <c r="AV58" i="6" s="1"/>
  <c r="AH58" i="6" s="1"/>
  <c r="AJ58" i="6" s="1"/>
  <c r="AK58" i="6" s="1"/>
  <c r="Y58" i="6" s="1"/>
  <c r="AA58" i="6" s="1"/>
  <c r="AB58" i="6" s="1"/>
  <c r="AJ62" i="6"/>
  <c r="AK62" i="6" s="1"/>
  <c r="Y62" i="6" s="1"/>
  <c r="AA62" i="6" s="1"/>
  <c r="AB62" i="6" s="1"/>
  <c r="AA65" i="6"/>
  <c r="AB65" i="6" s="1"/>
  <c r="AA66" i="6"/>
  <c r="AB66" i="6" s="1"/>
  <c r="AA57" i="6"/>
  <c r="AB57" i="6" s="1"/>
  <c r="AU50" i="6"/>
  <c r="AV50" i="6" s="1"/>
  <c r="AH50" i="6" s="1"/>
  <c r="AJ50" i="6" s="1"/>
  <c r="AK50" i="6" s="1"/>
  <c r="Y50" i="6" s="1"/>
  <c r="AA50" i="6" s="1"/>
  <c r="AB50" i="6" s="1"/>
  <c r="AA40" i="6"/>
  <c r="AB40" i="6" s="1"/>
  <c r="AJ49" i="6"/>
  <c r="AK49" i="6" s="1"/>
  <c r="Y49" i="6" s="1"/>
  <c r="AA49" i="6" s="1"/>
  <c r="AB49" i="6" s="1"/>
  <c r="AV39" i="6"/>
  <c r="AH39" i="6" s="1"/>
  <c r="AJ39" i="6" s="1"/>
  <c r="AK39" i="6" s="1"/>
  <c r="Y39" i="6" s="1"/>
  <c r="AA39" i="6" s="1"/>
  <c r="AB39" i="6" s="1"/>
  <c r="AJ38" i="6"/>
  <c r="AK38" i="6" s="1"/>
  <c r="Y38" i="6" s="1"/>
  <c r="AA38" i="6" s="1"/>
  <c r="AB38" i="6" s="1"/>
  <c r="AJ29" i="6"/>
  <c r="AK29" i="6" s="1"/>
  <c r="Y29" i="6" s="1"/>
  <c r="AA29" i="6" s="1"/>
  <c r="AB29" i="6" s="1"/>
  <c r="AU22" i="6"/>
  <c r="AV22" i="6" s="1"/>
  <c r="AH22" i="6" s="1"/>
  <c r="AJ22" i="6" s="1"/>
  <c r="AK22" i="6" s="1"/>
  <c r="Y22" i="6" s="1"/>
  <c r="AA22" i="6" s="1"/>
  <c r="AB22" i="6" s="1"/>
  <c r="AJ232" i="6"/>
  <c r="AK232" i="6" s="1"/>
  <c r="Y232" i="6" s="1"/>
  <c r="AA232" i="6" s="1"/>
  <c r="AB232" i="6" s="1"/>
  <c r="AA28" i="6"/>
  <c r="AB28" i="6" s="1"/>
  <c r="AJ254" i="6"/>
  <c r="AK254" i="6" s="1"/>
  <c r="Y254" i="6" s="1"/>
  <c r="AA254" i="6" s="1"/>
  <c r="AB254" i="6" s="1"/>
  <c r="AU250" i="6"/>
  <c r="AV250" i="6" s="1"/>
  <c r="AH250" i="6" s="1"/>
  <c r="AJ250" i="6" s="1"/>
  <c r="AK250" i="6" s="1"/>
  <c r="Y250" i="6" s="1"/>
  <c r="AA250" i="6" s="1"/>
  <c r="AB250" i="6" s="1"/>
  <c r="AU214" i="6"/>
  <c r="AV214" i="6" s="1"/>
  <c r="AH214" i="6" s="1"/>
  <c r="AJ214" i="6" s="1"/>
  <c r="AK214" i="6" s="1"/>
  <c r="Y214" i="6" s="1"/>
  <c r="AA214" i="6" s="1"/>
  <c r="AB214" i="6" s="1"/>
  <c r="AJ179" i="6"/>
  <c r="AK179" i="6" s="1"/>
  <c r="Y179" i="6" s="1"/>
  <c r="AA179" i="6" s="1"/>
  <c r="AB179" i="6" s="1"/>
  <c r="AU92" i="6"/>
  <c r="AV92" i="6" s="1"/>
  <c r="AH92" i="6" s="1"/>
  <c r="AJ92" i="6" s="1"/>
  <c r="AK92" i="6" s="1"/>
  <c r="Y92" i="6" s="1"/>
  <c r="AA92" i="6" s="1"/>
  <c r="AB92" i="6" s="1"/>
  <c r="AJ163" i="6"/>
  <c r="AK163" i="6" s="1"/>
  <c r="Y163" i="6" s="1"/>
  <c r="AA163" i="6" s="1"/>
  <c r="AB163" i="6" s="1"/>
  <c r="AU29" i="4"/>
  <c r="AV29" i="4" s="1"/>
  <c r="AH29" i="4" s="1"/>
  <c r="AJ29" i="4" s="1"/>
  <c r="AK29" i="4" s="1"/>
  <c r="Y29" i="4" s="1"/>
  <c r="AA29" i="4" s="1"/>
  <c r="AB29" i="4" s="1"/>
  <c r="AA32" i="4"/>
  <c r="AB32" i="4" s="1"/>
  <c r="AA24" i="4"/>
  <c r="AB24" i="4" s="1"/>
  <c r="AA17" i="4"/>
  <c r="AB17" i="4" s="1"/>
  <c r="AU13" i="4"/>
  <c r="AV13" i="4" s="1"/>
  <c r="AH13" i="4" s="1"/>
  <c r="AJ13" i="4" s="1"/>
  <c r="AK13" i="4" s="1"/>
  <c r="Y13" i="4" s="1"/>
  <c r="AA13" i="4" s="1"/>
  <c r="AB13" i="4" s="1"/>
  <c r="AU9" i="4"/>
  <c r="AV9" i="4" s="1"/>
  <c r="AH9" i="4" s="1"/>
  <c r="AJ9" i="4" s="1"/>
  <c r="AK9" i="4" s="1"/>
  <c r="Y9" i="4" s="1"/>
  <c r="AA9" i="4" s="1"/>
  <c r="AB9" i="4" s="1"/>
  <c r="AA466" i="3"/>
  <c r="AB466" i="3" s="1"/>
  <c r="N466" i="3" s="1"/>
  <c r="P466" i="3" s="1"/>
  <c r="Q466" i="3" s="1"/>
  <c r="D466" i="3" s="1"/>
  <c r="AA458" i="3"/>
  <c r="AB458" i="3" s="1"/>
  <c r="N458" i="3" s="1"/>
  <c r="P458" i="3" s="1"/>
  <c r="Q458" i="3" s="1"/>
  <c r="D458" i="3" s="1"/>
  <c r="AU456" i="3"/>
  <c r="AV456" i="3" s="1"/>
  <c r="AH456" i="3" s="1"/>
  <c r="AJ456" i="3" s="1"/>
  <c r="AK456" i="3" s="1"/>
  <c r="Y456" i="3" s="1"/>
  <c r="AA456" i="3" s="1"/>
  <c r="AB456" i="3" s="1"/>
  <c r="N456" i="3" s="1"/>
  <c r="P456" i="3" s="1"/>
  <c r="Q456" i="3" s="1"/>
  <c r="D456" i="3" s="1"/>
  <c r="AA454" i="3"/>
  <c r="AB454" i="3" s="1"/>
  <c r="N454" i="3" s="1"/>
  <c r="P454" i="3" s="1"/>
  <c r="Q454" i="3" s="1"/>
  <c r="D454" i="3" s="1"/>
  <c r="AK443" i="3"/>
  <c r="Y443" i="3" s="1"/>
  <c r="AA443" i="3" s="1"/>
  <c r="AB443" i="3" s="1"/>
  <c r="N443" i="3" s="1"/>
  <c r="P443" i="3" s="1"/>
  <c r="Q443" i="3" s="1"/>
  <c r="D443" i="3" s="1"/>
  <c r="AJ424" i="3"/>
  <c r="AK424" i="3" s="1"/>
  <c r="Y424" i="3" s="1"/>
  <c r="AA424" i="3" s="1"/>
  <c r="AB424" i="3" s="1"/>
  <c r="N424" i="3" s="1"/>
  <c r="P424" i="3" s="1"/>
  <c r="Q424" i="3" s="1"/>
  <c r="D424" i="3" s="1"/>
  <c r="AA419" i="3"/>
  <c r="AB419" i="3" s="1"/>
  <c r="N419" i="3" s="1"/>
  <c r="P419" i="3" s="1"/>
  <c r="Q419" i="3" s="1"/>
  <c r="D419" i="3" s="1"/>
  <c r="AA417" i="3"/>
  <c r="AB417" i="3" s="1"/>
  <c r="N417" i="3" s="1"/>
  <c r="P417" i="3" s="1"/>
  <c r="Q417" i="3" s="1"/>
  <c r="D417" i="3" s="1"/>
  <c r="AA401" i="3"/>
  <c r="AB401" i="3" s="1"/>
  <c r="N401" i="3" s="1"/>
  <c r="P401" i="3" s="1"/>
  <c r="Q401" i="3" s="1"/>
  <c r="D401" i="3" s="1"/>
  <c r="AA400" i="3"/>
  <c r="AB400" i="3" s="1"/>
  <c r="N400" i="3" s="1"/>
  <c r="P400" i="3" s="1"/>
  <c r="Q400" i="3" s="1"/>
  <c r="D400" i="3" s="1"/>
  <c r="AA379" i="3"/>
  <c r="AB379" i="3" s="1"/>
  <c r="N379" i="3" s="1"/>
  <c r="P379" i="3" s="1"/>
  <c r="Q379" i="3" s="1"/>
  <c r="D379" i="3" s="1"/>
  <c r="AA371" i="3"/>
  <c r="AB371" i="3" s="1"/>
  <c r="N371" i="3" s="1"/>
  <c r="P371" i="3" s="1"/>
  <c r="Q371" i="3" s="1"/>
  <c r="D371" i="3" s="1"/>
  <c r="AA365" i="3"/>
  <c r="AB365" i="3" s="1"/>
  <c r="N365" i="3" s="1"/>
  <c r="P365" i="3" s="1"/>
  <c r="Q365" i="3" s="1"/>
  <c r="D365" i="3" s="1"/>
  <c r="AA354" i="3"/>
  <c r="AB354" i="3" s="1"/>
  <c r="N354" i="3" s="1"/>
  <c r="P354" i="3" s="1"/>
  <c r="Q354" i="3" s="1"/>
  <c r="D354" i="3" s="1"/>
  <c r="AA355" i="3"/>
  <c r="AB355" i="3" s="1"/>
  <c r="N355" i="3" s="1"/>
  <c r="P355" i="3" s="1"/>
  <c r="Q355" i="3" s="1"/>
  <c r="D355" i="3" s="1"/>
  <c r="AA350" i="3"/>
  <c r="AB350" i="3" s="1"/>
  <c r="N350" i="3" s="1"/>
  <c r="P350" i="3" s="1"/>
  <c r="Q350" i="3" s="1"/>
  <c r="D350" i="3" s="1"/>
  <c r="AU352" i="3"/>
  <c r="AV352" i="3" s="1"/>
  <c r="AH352" i="3" s="1"/>
  <c r="AJ352" i="3" s="1"/>
  <c r="AK352" i="3" s="1"/>
  <c r="Y352" i="3" s="1"/>
  <c r="AA352" i="3" s="1"/>
  <c r="AB352" i="3" s="1"/>
  <c r="N352" i="3" s="1"/>
  <c r="P352" i="3" s="1"/>
  <c r="Q352" i="3" s="1"/>
  <c r="D352" i="3" s="1"/>
  <c r="AA329" i="3"/>
  <c r="AB329" i="3" s="1"/>
  <c r="N329" i="3" s="1"/>
  <c r="P329" i="3" s="1"/>
  <c r="Q329" i="3" s="1"/>
  <c r="D329" i="3" s="1"/>
  <c r="AA325" i="3"/>
  <c r="AB325" i="3" s="1"/>
  <c r="N325" i="3" s="1"/>
  <c r="P325" i="3" s="1"/>
  <c r="Q325" i="3" s="1"/>
  <c r="D325" i="3" s="1"/>
  <c r="AA345" i="3"/>
  <c r="AB345" i="3" s="1"/>
  <c r="N345" i="3" s="1"/>
  <c r="P345" i="3" s="1"/>
  <c r="Q345" i="3" s="1"/>
  <c r="D345" i="3" s="1"/>
  <c r="AU293" i="3"/>
  <c r="AV293" i="3" s="1"/>
  <c r="AH293" i="3" s="1"/>
  <c r="AJ293" i="3" s="1"/>
  <c r="AK293" i="3" s="1"/>
  <c r="Y293" i="3" s="1"/>
  <c r="AA293" i="3" s="1"/>
  <c r="AB293" i="3" s="1"/>
  <c r="N293" i="3" s="1"/>
  <c r="P293" i="3" s="1"/>
  <c r="Q293" i="3" s="1"/>
  <c r="D293" i="3" s="1"/>
  <c r="AA338" i="3"/>
  <c r="AB338" i="3" s="1"/>
  <c r="N338" i="3" s="1"/>
  <c r="P338" i="3" s="1"/>
  <c r="Q338" i="3" s="1"/>
  <c r="D338" i="3" s="1"/>
  <c r="AA341" i="3"/>
  <c r="AB341" i="3" s="1"/>
  <c r="N341" i="3" s="1"/>
  <c r="P341" i="3" s="1"/>
  <c r="Q341" i="3" s="1"/>
  <c r="D341" i="3" s="1"/>
  <c r="AA326" i="3"/>
  <c r="AB326" i="3" s="1"/>
  <c r="N326" i="3" s="1"/>
  <c r="P326" i="3" s="1"/>
  <c r="Q326" i="3" s="1"/>
  <c r="D326" i="3" s="1"/>
  <c r="AA218" i="3"/>
  <c r="AB218" i="3" s="1"/>
  <c r="N218" i="3" s="1"/>
  <c r="P218" i="3" s="1"/>
  <c r="Q218" i="3" s="1"/>
  <c r="D218" i="3" s="1"/>
  <c r="AA320" i="3"/>
  <c r="AB320" i="3" s="1"/>
  <c r="N320" i="3" s="1"/>
  <c r="P320" i="3" s="1"/>
  <c r="Q320" i="3" s="1"/>
  <c r="D320" i="3" s="1"/>
  <c r="AA304" i="3"/>
  <c r="AB304" i="3" s="1"/>
  <c r="N304" i="3" s="1"/>
  <c r="P304" i="3" s="1"/>
  <c r="Q304" i="3" s="1"/>
  <c r="D304" i="3" s="1"/>
  <c r="AJ289" i="3"/>
  <c r="AK289" i="3" s="1"/>
  <c r="Y289" i="3" s="1"/>
  <c r="AA289" i="3" s="1"/>
  <c r="AB289" i="3" s="1"/>
  <c r="N289" i="3" s="1"/>
  <c r="P289" i="3" s="1"/>
  <c r="Q289" i="3" s="1"/>
  <c r="D289" i="3" s="1"/>
  <c r="AA287" i="3"/>
  <c r="AB287" i="3" s="1"/>
  <c r="N287" i="3" s="1"/>
  <c r="P287" i="3" s="1"/>
  <c r="Q287" i="3" s="1"/>
  <c r="D287" i="3" s="1"/>
  <c r="AU283" i="3"/>
  <c r="AV283" i="3" s="1"/>
  <c r="AH283" i="3" s="1"/>
  <c r="AJ283" i="3" s="1"/>
  <c r="AK283" i="3" s="1"/>
  <c r="Y283" i="3" s="1"/>
  <c r="AA283" i="3" s="1"/>
  <c r="AB283" i="3" s="1"/>
  <c r="N283" i="3" s="1"/>
  <c r="P283" i="3" s="1"/>
  <c r="Q283" i="3" s="1"/>
  <c r="D283" i="3" s="1"/>
  <c r="AA282" i="3"/>
  <c r="AB282" i="3" s="1"/>
  <c r="N282" i="3" s="1"/>
  <c r="P282" i="3" s="1"/>
  <c r="Q282" i="3" s="1"/>
  <c r="D282" i="3" s="1"/>
  <c r="AA274" i="3"/>
  <c r="AB274" i="3" s="1"/>
  <c r="N274" i="3" s="1"/>
  <c r="P274" i="3" s="1"/>
  <c r="Q274" i="3" s="1"/>
  <c r="D274" i="3" s="1"/>
  <c r="AA280" i="3"/>
  <c r="AB280" i="3" s="1"/>
  <c r="N280" i="3" s="1"/>
  <c r="P280" i="3" s="1"/>
  <c r="Q280" i="3" s="1"/>
  <c r="D280" i="3" s="1"/>
  <c r="AU237" i="3"/>
  <c r="AV237" i="3" s="1"/>
  <c r="AH237" i="3" s="1"/>
  <c r="AJ237" i="3" s="1"/>
  <c r="AK237" i="3" s="1"/>
  <c r="Y237" i="3" s="1"/>
  <c r="AA237" i="3" s="1"/>
  <c r="AB237" i="3" s="1"/>
  <c r="N237" i="3" s="1"/>
  <c r="P237" i="3" s="1"/>
  <c r="Q237" i="3" s="1"/>
  <c r="D237" i="3" s="1"/>
  <c r="AA271" i="3"/>
  <c r="AB271" i="3" s="1"/>
  <c r="N271" i="3" s="1"/>
  <c r="P271" i="3" s="1"/>
  <c r="Q271" i="3" s="1"/>
  <c r="D271" i="3" s="1"/>
  <c r="AA267" i="3"/>
  <c r="AB267" i="3" s="1"/>
  <c r="N267" i="3" s="1"/>
  <c r="P267" i="3" s="1"/>
  <c r="Q267" i="3" s="1"/>
  <c r="D267" i="3" s="1"/>
  <c r="AA264" i="3"/>
  <c r="AB264" i="3" s="1"/>
  <c r="N264" i="3" s="1"/>
  <c r="P264" i="3" s="1"/>
  <c r="Q264" i="3" s="1"/>
  <c r="D264" i="3" s="1"/>
  <c r="AA261" i="3"/>
  <c r="AB261" i="3" s="1"/>
  <c r="N261" i="3" s="1"/>
  <c r="P261" i="3" s="1"/>
  <c r="Q261" i="3" s="1"/>
  <c r="D261" i="3" s="1"/>
  <c r="AA252" i="3"/>
  <c r="AB252" i="3" s="1"/>
  <c r="N252" i="3" s="1"/>
  <c r="P252" i="3" s="1"/>
  <c r="Q252" i="3" s="1"/>
  <c r="D252" i="3" s="1"/>
  <c r="AU248" i="3"/>
  <c r="AV248" i="3" s="1"/>
  <c r="AH248" i="3" s="1"/>
  <c r="AJ248" i="3" s="1"/>
  <c r="AK248" i="3" s="1"/>
  <c r="Y248" i="3" s="1"/>
  <c r="AA248" i="3" s="1"/>
  <c r="AB248" i="3" s="1"/>
  <c r="N248" i="3" s="1"/>
  <c r="P248" i="3" s="1"/>
  <c r="Q248" i="3" s="1"/>
  <c r="D248" i="3" s="1"/>
  <c r="AA238" i="3"/>
  <c r="AB238" i="3" s="1"/>
  <c r="N238" i="3" s="1"/>
  <c r="P238" i="3" s="1"/>
  <c r="Q238" i="3" s="1"/>
  <c r="D238" i="3" s="1"/>
  <c r="AA229" i="3"/>
  <c r="AB229" i="3" s="1"/>
  <c r="N229" i="3" s="1"/>
  <c r="P229" i="3" s="1"/>
  <c r="Q229" i="3" s="1"/>
  <c r="D229" i="3" s="1"/>
  <c r="AA225" i="3"/>
  <c r="AB225" i="3" s="1"/>
  <c r="N225" i="3" s="1"/>
  <c r="P225" i="3" s="1"/>
  <c r="Q225" i="3" s="1"/>
  <c r="D225" i="3" s="1"/>
  <c r="AU215" i="3"/>
  <c r="AV215" i="3" s="1"/>
  <c r="AH215" i="3" s="1"/>
  <c r="AJ215" i="3" s="1"/>
  <c r="AK215" i="3" s="1"/>
  <c r="Y215" i="3" s="1"/>
  <c r="AA215" i="3" s="1"/>
  <c r="AB215" i="3" s="1"/>
  <c r="N215" i="3" s="1"/>
  <c r="P215" i="3" s="1"/>
  <c r="Q215" i="3" s="1"/>
  <c r="D215" i="3" s="1"/>
  <c r="AU211" i="3"/>
  <c r="AV211" i="3" s="1"/>
  <c r="AH211" i="3" s="1"/>
  <c r="AJ211" i="3" s="1"/>
  <c r="AK211" i="3" s="1"/>
  <c r="Y211" i="3" s="1"/>
  <c r="AA211" i="3" s="1"/>
  <c r="AB211" i="3" s="1"/>
  <c r="N211" i="3" s="1"/>
  <c r="P211" i="3" s="1"/>
  <c r="Q211" i="3" s="1"/>
  <c r="D211" i="3" s="1"/>
  <c r="AU187" i="3"/>
  <c r="AV187" i="3" s="1"/>
  <c r="AH187" i="3" s="1"/>
  <c r="AJ187" i="3" s="1"/>
  <c r="AK187" i="3" s="1"/>
  <c r="Y187" i="3" s="1"/>
  <c r="AA187" i="3" s="1"/>
  <c r="AB187" i="3" s="1"/>
  <c r="N187" i="3" s="1"/>
  <c r="P187" i="3" s="1"/>
  <c r="Q187" i="3" s="1"/>
  <c r="D187" i="3" s="1"/>
  <c r="AA199" i="3"/>
  <c r="AB199" i="3" s="1"/>
  <c r="N199" i="3" s="1"/>
  <c r="P199" i="3" s="1"/>
  <c r="Q199" i="3" s="1"/>
  <c r="D199" i="3" s="1"/>
  <c r="AJ188" i="3"/>
  <c r="AK188" i="3" s="1"/>
  <c r="Y188" i="3" s="1"/>
  <c r="AA188" i="3" s="1"/>
  <c r="AB188" i="3" s="1"/>
  <c r="N188" i="3" s="1"/>
  <c r="P188" i="3" s="1"/>
  <c r="Q188" i="3" s="1"/>
  <c r="D188" i="3" s="1"/>
  <c r="AA186" i="3"/>
  <c r="AB186" i="3" s="1"/>
  <c r="N186" i="3" s="1"/>
  <c r="P186" i="3" s="1"/>
  <c r="Q186" i="3" s="1"/>
  <c r="D186" i="3" s="1"/>
  <c r="AA178" i="3"/>
  <c r="AB178" i="3" s="1"/>
  <c r="N178" i="3" s="1"/>
  <c r="P178" i="3" s="1"/>
  <c r="Q178" i="3" s="1"/>
  <c r="D178" i="3" s="1"/>
  <c r="AA172" i="3"/>
  <c r="AB172" i="3" s="1"/>
  <c r="N172" i="3" s="1"/>
  <c r="P172" i="3" s="1"/>
  <c r="Q172" i="3" s="1"/>
  <c r="D172" i="3" s="1"/>
  <c r="AA170" i="3"/>
  <c r="AB170" i="3" s="1"/>
  <c r="N170" i="3" s="1"/>
  <c r="P170" i="3" s="1"/>
  <c r="Q170" i="3" s="1"/>
  <c r="D170" i="3" s="1"/>
  <c r="AA157" i="3"/>
  <c r="AB157" i="3" s="1"/>
  <c r="N157" i="3" s="1"/>
  <c r="P157" i="3" s="1"/>
  <c r="Q157" i="3" s="1"/>
  <c r="D157" i="3" s="1"/>
  <c r="AA158" i="3"/>
  <c r="AB158" i="3" s="1"/>
  <c r="N158" i="3" s="1"/>
  <c r="P158" i="3" s="1"/>
  <c r="Q158" i="3" s="1"/>
  <c r="D158" i="3" s="1"/>
  <c r="AU153" i="3"/>
  <c r="AV153" i="3" s="1"/>
  <c r="AH153" i="3" s="1"/>
  <c r="AJ153" i="3" s="1"/>
  <c r="AK153" i="3" s="1"/>
  <c r="Y153" i="3" s="1"/>
  <c r="AA153" i="3" s="1"/>
  <c r="AB153" i="3" s="1"/>
  <c r="N153" i="3" s="1"/>
  <c r="P153" i="3" s="1"/>
  <c r="Q153" i="3" s="1"/>
  <c r="D153" i="3" s="1"/>
  <c r="AA151" i="3"/>
  <c r="AB151" i="3" s="1"/>
  <c r="N151" i="3" s="1"/>
  <c r="P151" i="3" s="1"/>
  <c r="Q151" i="3" s="1"/>
  <c r="D151" i="3" s="1"/>
  <c r="AA140" i="3"/>
  <c r="AB140" i="3" s="1"/>
  <c r="N140" i="3" s="1"/>
  <c r="P140" i="3" s="1"/>
  <c r="Q140" i="3" s="1"/>
  <c r="D140" i="3" s="1"/>
  <c r="AA132" i="3"/>
  <c r="AB132" i="3" s="1"/>
  <c r="N132" i="3" s="1"/>
  <c r="P132" i="3" s="1"/>
  <c r="Q132" i="3" s="1"/>
  <c r="D132" i="3" s="1"/>
  <c r="AU113" i="3"/>
  <c r="AV113" i="3" s="1"/>
  <c r="AH113" i="3" s="1"/>
  <c r="AJ113" i="3" s="1"/>
  <c r="AK113" i="3" s="1"/>
  <c r="Y113" i="3" s="1"/>
  <c r="AA113" i="3" s="1"/>
  <c r="AB113" i="3" s="1"/>
  <c r="N113" i="3" s="1"/>
  <c r="P113" i="3" s="1"/>
  <c r="Q113" i="3" s="1"/>
  <c r="D113" i="3" s="1"/>
  <c r="AU122" i="3"/>
  <c r="AV122" i="3" s="1"/>
  <c r="AH122" i="3" s="1"/>
  <c r="AJ122" i="3" s="1"/>
  <c r="AK122" i="3" s="1"/>
  <c r="Y122" i="3" s="1"/>
  <c r="AA122" i="3" s="1"/>
  <c r="AB122" i="3" s="1"/>
  <c r="N122" i="3" s="1"/>
  <c r="P122" i="3" s="1"/>
  <c r="Q122" i="3" s="1"/>
  <c r="D122" i="3" s="1"/>
  <c r="AA115" i="3"/>
  <c r="AB115" i="3" s="1"/>
  <c r="N115" i="3" s="1"/>
  <c r="P115" i="3" s="1"/>
  <c r="Q115" i="3" s="1"/>
  <c r="D115" i="3" s="1"/>
  <c r="AA81" i="3"/>
  <c r="AB81" i="3" s="1"/>
  <c r="N81" i="3" s="1"/>
  <c r="P81" i="3" s="1"/>
  <c r="Q81" i="3" s="1"/>
  <c r="D81" i="3" s="1"/>
  <c r="AJ92" i="3"/>
  <c r="AK92" i="3" s="1"/>
  <c r="Y92" i="3" s="1"/>
  <c r="AA92" i="3" s="1"/>
  <c r="AB92" i="3" s="1"/>
  <c r="N92" i="3" s="1"/>
  <c r="P92" i="3" s="1"/>
  <c r="Q92" i="3" s="1"/>
  <c r="D92" i="3" s="1"/>
  <c r="AA84" i="3"/>
  <c r="AB84" i="3" s="1"/>
  <c r="N84" i="3" s="1"/>
  <c r="P84" i="3" s="1"/>
  <c r="Q84" i="3" s="1"/>
  <c r="D84" i="3" s="1"/>
  <c r="AA70" i="3"/>
  <c r="AB70" i="3" s="1"/>
  <c r="N70" i="3" s="1"/>
  <c r="P70" i="3" s="1"/>
  <c r="Q70" i="3" s="1"/>
  <c r="D70" i="3" s="1"/>
  <c r="AA69" i="3"/>
  <c r="AB69" i="3" s="1"/>
  <c r="N69" i="3" s="1"/>
  <c r="P69" i="3" s="1"/>
  <c r="Q69" i="3" s="1"/>
  <c r="D69" i="3" s="1"/>
  <c r="AA64" i="3"/>
  <c r="AB64" i="3" s="1"/>
  <c r="N64" i="3" s="1"/>
  <c r="P64" i="3" s="1"/>
  <c r="Q64" i="3" s="1"/>
  <c r="D64" i="3" s="1"/>
  <c r="AJ31" i="3"/>
  <c r="AK31" i="3" s="1"/>
  <c r="Y31" i="3" s="1"/>
  <c r="AA31" i="3" s="1"/>
  <c r="AB31" i="3" s="1"/>
  <c r="N31" i="3" s="1"/>
  <c r="P31" i="3" s="1"/>
  <c r="Q31" i="3" s="1"/>
  <c r="D31" i="3" s="1"/>
  <c r="AJ59" i="3"/>
  <c r="AK59" i="3" s="1"/>
  <c r="Y59" i="3" s="1"/>
  <c r="AA59" i="3" s="1"/>
  <c r="AB59" i="3" s="1"/>
  <c r="N59" i="3" s="1"/>
  <c r="P59" i="3" s="1"/>
  <c r="Q59" i="3" s="1"/>
  <c r="D59" i="3" s="1"/>
  <c r="AU35" i="3"/>
  <c r="AV35" i="3" s="1"/>
  <c r="AH35" i="3" s="1"/>
  <c r="AJ35" i="3" s="1"/>
  <c r="AK35" i="3" s="1"/>
  <c r="Y35" i="3" s="1"/>
  <c r="AA35" i="3" s="1"/>
  <c r="AB35" i="3" s="1"/>
  <c r="N35" i="3" s="1"/>
  <c r="P35" i="3" s="1"/>
  <c r="Q35" i="3" s="1"/>
  <c r="D35" i="3" s="1"/>
  <c r="AU462" i="3"/>
  <c r="AV462" i="3" s="1"/>
  <c r="AH462" i="3" s="1"/>
  <c r="AJ462" i="3" s="1"/>
  <c r="AK462" i="3" s="1"/>
  <c r="Y462" i="3" s="1"/>
  <c r="AA462" i="3" s="1"/>
  <c r="AB462" i="3" s="1"/>
  <c r="N462" i="3" s="1"/>
  <c r="P462" i="3" s="1"/>
  <c r="Q462" i="3" s="1"/>
  <c r="D462" i="3" s="1"/>
  <c r="AU26" i="3"/>
  <c r="AV26" i="3" s="1"/>
  <c r="AH26" i="3" s="1"/>
  <c r="AJ26" i="3" s="1"/>
  <c r="AK26" i="3" s="1"/>
  <c r="Y26" i="3" s="1"/>
  <c r="AA26" i="3" s="1"/>
  <c r="AB26" i="3" s="1"/>
  <c r="N26" i="3" s="1"/>
  <c r="P26" i="3" s="1"/>
  <c r="AU22" i="3"/>
  <c r="AV22" i="3" s="1"/>
  <c r="AH22" i="3" s="1"/>
  <c r="AJ22" i="3" s="1"/>
  <c r="AK22" i="3" s="1"/>
  <c r="Y22" i="3" s="1"/>
  <c r="AA22" i="3" s="1"/>
  <c r="AB22" i="3" s="1"/>
  <c r="N22" i="3" s="1"/>
  <c r="P22" i="3" s="1"/>
  <c r="Q22" i="3" s="1"/>
  <c r="D22" i="3" s="1"/>
  <c r="AU24" i="3"/>
  <c r="AV24" i="3" s="1"/>
  <c r="AH24" i="3" s="1"/>
  <c r="AJ24" i="3" s="1"/>
  <c r="AK24" i="3" s="1"/>
  <c r="Y24" i="3" s="1"/>
  <c r="AA24" i="3" s="1"/>
  <c r="AB24" i="3" s="1"/>
  <c r="N24" i="3" s="1"/>
  <c r="P24" i="3" s="1"/>
  <c r="Q24" i="3" s="1"/>
  <c r="D24" i="3" s="1"/>
  <c r="AA383" i="3"/>
  <c r="AB383" i="3" s="1"/>
  <c r="N383" i="3" s="1"/>
  <c r="P383" i="3" s="1"/>
  <c r="Q383" i="3" s="1"/>
  <c r="D383" i="3" s="1"/>
  <c r="AJ227" i="3"/>
  <c r="AK227" i="3" s="1"/>
  <c r="Y227" i="3" s="1"/>
  <c r="AA227" i="3" s="1"/>
  <c r="AB227" i="3" s="1"/>
  <c r="N227" i="3" s="1"/>
  <c r="P227" i="3" s="1"/>
  <c r="Q227" i="3" s="1"/>
  <c r="D227" i="3" s="1"/>
  <c r="AU21" i="3"/>
  <c r="AV21" i="3" s="1"/>
  <c r="AH21" i="3" s="1"/>
  <c r="AJ21" i="3" s="1"/>
  <c r="AK21" i="3" s="1"/>
  <c r="Y21" i="3" s="1"/>
  <c r="AA21" i="3" s="1"/>
  <c r="AB21" i="3" s="1"/>
  <c r="N21" i="3" s="1"/>
  <c r="P21" i="3" s="1"/>
  <c r="Q21" i="3" s="1"/>
  <c r="D21" i="3" s="1"/>
  <c r="AA149" i="3"/>
  <c r="AB149" i="3" s="1"/>
  <c r="N149" i="3" s="1"/>
  <c r="P149" i="3" s="1"/>
  <c r="Q149" i="3" s="1"/>
  <c r="D149" i="3" s="1"/>
  <c r="AJ277" i="3"/>
  <c r="AK277" i="3" s="1"/>
  <c r="Y277" i="3" s="1"/>
  <c r="AA277" i="3" s="1"/>
  <c r="AB277" i="3" s="1"/>
  <c r="N277" i="3" s="1"/>
  <c r="P277" i="3" s="1"/>
  <c r="Q277" i="3" s="1"/>
  <c r="D277" i="3" s="1"/>
  <c r="AJ85" i="3"/>
  <c r="AK85" i="3" s="1"/>
  <c r="Y85" i="3" s="1"/>
  <c r="AA85" i="3" s="1"/>
  <c r="AB85" i="3" s="1"/>
  <c r="N85" i="3" s="1"/>
  <c r="P85" i="3" s="1"/>
  <c r="Q85" i="3" s="1"/>
  <c r="D85" i="3" s="1"/>
  <c r="AA130" i="3"/>
  <c r="AB130" i="3" s="1"/>
  <c r="N130" i="3" s="1"/>
  <c r="P130" i="3" s="1"/>
  <c r="Q130" i="3" s="1"/>
  <c r="D130" i="3" s="1"/>
  <c r="AA125" i="3"/>
  <c r="AB125" i="3" s="1"/>
  <c r="N125" i="3" s="1"/>
  <c r="P125" i="3" s="1"/>
  <c r="Q125" i="3" s="1"/>
  <c r="D125" i="3" s="1"/>
  <c r="J260" i="1"/>
  <c r="J335" i="1"/>
  <c r="P335" i="1" s="1"/>
  <c r="Q335" i="1" s="1"/>
  <c r="D335" i="1" s="1"/>
  <c r="J296" i="1"/>
  <c r="P296" i="1" s="1"/>
  <c r="Q296" i="1" s="1"/>
  <c r="D296" i="1" s="1"/>
  <c r="J90" i="1"/>
  <c r="J334" i="1"/>
  <c r="P334" i="1" s="1"/>
  <c r="Q334" i="1" s="1"/>
  <c r="D334" i="1" s="1"/>
  <c r="J278" i="1"/>
  <c r="J146" i="1"/>
  <c r="J65" i="1"/>
  <c r="J151" i="1"/>
  <c r="J152" i="1"/>
  <c r="J34" i="1"/>
  <c r="J30" i="1"/>
  <c r="J197" i="1"/>
  <c r="J74" i="1"/>
  <c r="J109" i="1"/>
  <c r="K52" i="6"/>
  <c r="K219" i="6"/>
  <c r="K198" i="6"/>
  <c r="K226" i="3"/>
  <c r="K233" i="3"/>
  <c r="P233" i="3" s="1"/>
  <c r="Q233" i="3" s="1"/>
  <c r="D233" i="3" s="1"/>
  <c r="K340" i="3"/>
  <c r="K33" i="3"/>
  <c r="K89" i="3"/>
  <c r="K13" i="3"/>
  <c r="K32" i="3"/>
  <c r="K87" i="3"/>
  <c r="K468" i="3"/>
  <c r="P468" i="3" s="1"/>
  <c r="Q468" i="3" s="1"/>
  <c r="D468" i="3" s="1"/>
  <c r="K245" i="3"/>
  <c r="P245" i="3" s="1"/>
  <c r="Q245" i="3" s="1"/>
  <c r="D245" i="3" s="1"/>
  <c r="K254" i="3"/>
  <c r="K422" i="3"/>
  <c r="K398" i="3"/>
  <c r="K194" i="3"/>
  <c r="K23" i="3"/>
  <c r="K30" i="3"/>
  <c r="K16" i="3"/>
  <c r="K9" i="3"/>
  <c r="K20" i="3"/>
  <c r="K18" i="3"/>
  <c r="K216" i="3"/>
  <c r="P216" i="3" s="1"/>
  <c r="Q216" i="3" s="1"/>
  <c r="D216" i="3" s="1"/>
  <c r="K29" i="3"/>
  <c r="K34" i="3"/>
  <c r="K7" i="3"/>
  <c r="K27" i="3"/>
  <c r="K12" i="3"/>
  <c r="K6" i="4"/>
  <c r="K28" i="3"/>
  <c r="K47" i="1"/>
  <c r="K141" i="1"/>
  <c r="P141" i="1" s="1"/>
  <c r="Q141" i="1" s="1"/>
  <c r="D141" i="1" s="1"/>
  <c r="K86" i="1"/>
  <c r="K11" i="1"/>
  <c r="K22" i="1"/>
  <c r="K20" i="1"/>
  <c r="K19" i="1"/>
  <c r="K10" i="1"/>
  <c r="K9" i="1"/>
  <c r="K24" i="1"/>
  <c r="K16" i="1"/>
  <c r="K123" i="1"/>
  <c r="P123" i="1" s="1"/>
  <c r="Q123" i="1" s="1"/>
  <c r="D123" i="1" s="1"/>
  <c r="K281" i="1"/>
  <c r="P281" i="1" s="1"/>
  <c r="Q281" i="1" s="1"/>
  <c r="D281" i="1" s="1"/>
  <c r="K32" i="5"/>
  <c r="K20" i="5"/>
  <c r="K40" i="5"/>
  <c r="K42" i="5"/>
  <c r="K48" i="5"/>
  <c r="P48" i="5" s="1"/>
  <c r="K46" i="5"/>
  <c r="K132" i="1"/>
  <c r="K50" i="1"/>
  <c r="P50" i="1" s="1"/>
  <c r="Q50" i="1" s="1"/>
  <c r="D50" i="1" s="1"/>
  <c r="K155" i="1"/>
  <c r="K36" i="1"/>
  <c r="K16" i="2"/>
  <c r="K175" i="1"/>
  <c r="P175" i="1" s="1"/>
  <c r="Q175" i="1" s="1"/>
  <c r="D175" i="1" s="1"/>
  <c r="K253" i="1"/>
  <c r="K174" i="1"/>
  <c r="K271" i="1"/>
  <c r="P271" i="1" s="1"/>
  <c r="Q271" i="1" s="1"/>
  <c r="D271" i="1" s="1"/>
  <c r="K63" i="1"/>
  <c r="P63" i="1" s="1"/>
  <c r="Q63" i="1" s="1"/>
  <c r="D63" i="1" s="1"/>
  <c r="K136" i="1"/>
  <c r="K267" i="1"/>
  <c r="P267" i="1" s="1"/>
  <c r="Q267" i="1" s="1"/>
  <c r="D267" i="1" s="1"/>
  <c r="K268" i="1"/>
  <c r="P268" i="1" s="1"/>
  <c r="Q268" i="1" s="1"/>
  <c r="D268" i="1" s="1"/>
  <c r="K18" i="4"/>
  <c r="K28" i="4"/>
  <c r="K30" i="4"/>
  <c r="K113" i="6"/>
  <c r="K146" i="6"/>
  <c r="K251" i="6"/>
  <c r="K122" i="6"/>
  <c r="K428" i="3"/>
  <c r="K50" i="3"/>
  <c r="K389" i="3"/>
  <c r="V389" i="3"/>
  <c r="W389" i="3"/>
  <c r="AJ389" i="3"/>
  <c r="AK389" i="3" s="1"/>
  <c r="Y389" i="3" s="1"/>
  <c r="K17" i="3"/>
  <c r="K217" i="3"/>
  <c r="K8" i="3"/>
  <c r="K10" i="3"/>
  <c r="K6" i="3"/>
  <c r="K437" i="3"/>
  <c r="K57" i="3"/>
  <c r="P57" i="3" s="1"/>
  <c r="Q57" i="3" s="1"/>
  <c r="D57" i="3" s="1"/>
  <c r="K191" i="3"/>
  <c r="K94" i="3"/>
  <c r="K152" i="3"/>
  <c r="K183" i="3"/>
  <c r="K242" i="3"/>
  <c r="K381" i="3"/>
  <c r="K111" i="3"/>
  <c r="K77" i="3"/>
  <c r="K416" i="3"/>
  <c r="K112" i="3"/>
  <c r="K390" i="3"/>
  <c r="K21" i="2"/>
  <c r="K8" i="2"/>
  <c r="K16" i="5"/>
  <c r="K31" i="5"/>
  <c r="K223" i="3"/>
  <c r="P223" i="3" s="1"/>
  <c r="Q223" i="3" s="1"/>
  <c r="D223" i="3" s="1"/>
  <c r="K165" i="3"/>
  <c r="K368" i="3"/>
  <c r="P368" i="3" s="1"/>
  <c r="Q368" i="3" s="1"/>
  <c r="D368" i="3" s="1"/>
  <c r="K99" i="3"/>
  <c r="P99" i="3" s="1"/>
  <c r="Q99" i="3" s="1"/>
  <c r="D99" i="3" s="1"/>
  <c r="K58" i="3"/>
  <c r="P58" i="3" s="1"/>
  <c r="Q58" i="3" s="1"/>
  <c r="D58" i="3" s="1"/>
  <c r="K392" i="3"/>
  <c r="P392" i="3" s="1"/>
  <c r="Q392" i="3" s="1"/>
  <c r="D392" i="3" s="1"/>
  <c r="K276" i="3"/>
  <c r="P276" i="3" s="1"/>
  <c r="Q276" i="3" s="1"/>
  <c r="D276" i="3" s="1"/>
  <c r="K360" i="3"/>
  <c r="K427" i="3"/>
  <c r="P427" i="3" s="1"/>
  <c r="Q427" i="3" s="1"/>
  <c r="D427" i="3" s="1"/>
  <c r="K133" i="3"/>
  <c r="K82" i="3"/>
  <c r="P82" i="3" s="1"/>
  <c r="Q82" i="3" s="1"/>
  <c r="D82" i="3" s="1"/>
  <c r="K281" i="3"/>
  <c r="K35" i="4"/>
  <c r="P35" i="4" s="1"/>
  <c r="Q35" i="4" s="1"/>
  <c r="D35" i="4" s="1"/>
  <c r="K25" i="5"/>
  <c r="K47" i="5"/>
  <c r="K18" i="2"/>
  <c r="K39" i="2"/>
  <c r="K28" i="2"/>
  <c r="K12" i="2"/>
  <c r="K30" i="2"/>
  <c r="K10" i="2"/>
  <c r="K45" i="5"/>
  <c r="P45" i="5" s="1"/>
  <c r="K17" i="5"/>
  <c r="P17" i="5" s="1"/>
  <c r="K13" i="5"/>
  <c r="P13" i="5" s="1"/>
  <c r="K15" i="5"/>
  <c r="P15" i="5" s="1"/>
  <c r="K24" i="5"/>
  <c r="P24" i="5" s="1"/>
  <c r="K30" i="5"/>
  <c r="P30" i="5" s="1"/>
  <c r="K36" i="5"/>
  <c r="P36" i="5" s="1"/>
  <c r="K12" i="5"/>
  <c r="K18" i="5"/>
  <c r="K29" i="5"/>
  <c r="P29" i="5" s="1"/>
  <c r="K28" i="5"/>
  <c r="P28" i="5" s="1"/>
  <c r="Q28" i="5" s="1"/>
  <c r="D28" i="5" s="1"/>
  <c r="K22" i="5"/>
  <c r="P22" i="5" s="1"/>
  <c r="K43" i="5"/>
  <c r="P43" i="5" s="1"/>
  <c r="K19" i="5"/>
  <c r="P19" i="5" s="1"/>
  <c r="K33" i="5"/>
  <c r="K133" i="1"/>
  <c r="K29" i="1"/>
  <c r="K21" i="1"/>
  <c r="K6" i="1"/>
  <c r="K28" i="1"/>
  <c r="K259" i="1"/>
  <c r="P259" i="1" s="1"/>
  <c r="Q259" i="1" s="1"/>
  <c r="D259" i="1" s="1"/>
  <c r="K75" i="1"/>
  <c r="P75" i="1" s="1"/>
  <c r="Q75" i="1" s="1"/>
  <c r="D75" i="1" s="1"/>
  <c r="K113" i="1"/>
  <c r="K180" i="1"/>
  <c r="P180" i="1" s="1"/>
  <c r="Q180" i="1" s="1"/>
  <c r="D180" i="1" s="1"/>
  <c r="K90" i="1"/>
  <c r="K260" i="1"/>
  <c r="K158" i="1"/>
  <c r="P158" i="1" s="1"/>
  <c r="Q158" i="1" s="1"/>
  <c r="D158" i="1" s="1"/>
  <c r="K250" i="1"/>
  <c r="P250" i="1" s="1"/>
  <c r="Q250" i="1" s="1"/>
  <c r="D250" i="1" s="1"/>
  <c r="K168" i="1"/>
  <c r="K109" i="1"/>
  <c r="L168" i="1"/>
  <c r="K104" i="1"/>
  <c r="P104" i="1" s="1"/>
  <c r="Q104" i="1" s="1"/>
  <c r="D104" i="1" s="1"/>
  <c r="K34" i="1"/>
  <c r="K165" i="1"/>
  <c r="P165" i="1" s="1"/>
  <c r="Q165" i="1" s="1"/>
  <c r="D165" i="1" s="1"/>
  <c r="K162" i="1"/>
  <c r="K169" i="1"/>
  <c r="K209" i="1"/>
  <c r="P209" i="1" s="1"/>
  <c r="Q209" i="1" s="1"/>
  <c r="D209" i="1" s="1"/>
  <c r="K128" i="1"/>
  <c r="P128" i="1" s="1"/>
  <c r="Q128" i="1" s="1"/>
  <c r="D128" i="1" s="1"/>
  <c r="K242" i="1"/>
  <c r="P242" i="1" s="1"/>
  <c r="Q242" i="1" s="1"/>
  <c r="D242" i="1" s="1"/>
  <c r="K118" i="1"/>
  <c r="K100" i="1"/>
  <c r="K144" i="1"/>
  <c r="P144" i="1" s="1"/>
  <c r="Q144" i="1" s="1"/>
  <c r="D144" i="1" s="1"/>
  <c r="K102" i="1"/>
  <c r="P102" i="1" s="1"/>
  <c r="Q102" i="1" s="1"/>
  <c r="D102" i="1" s="1"/>
  <c r="M24" i="8"/>
  <c r="P24" i="8" s="1"/>
  <c r="Q24" i="8" s="1"/>
  <c r="D24" i="8" s="1"/>
  <c r="L257" i="3"/>
  <c r="P257" i="3" s="1"/>
  <c r="Q257" i="3" s="1"/>
  <c r="D257" i="3" s="1"/>
  <c r="L103" i="6"/>
  <c r="L37" i="6"/>
  <c r="P37" i="6" s="1"/>
  <c r="Q37" i="6" s="1"/>
  <c r="D37" i="6" s="1"/>
  <c r="L45" i="6"/>
  <c r="L59" i="6"/>
  <c r="L177" i="6"/>
  <c r="O441" i="3"/>
  <c r="L441" i="3"/>
  <c r="P441" i="3" s="1"/>
  <c r="L219" i="3"/>
  <c r="P219" i="3" s="1"/>
  <c r="O219" i="3"/>
  <c r="O124" i="3"/>
  <c r="L124" i="3"/>
  <c r="P124" i="3" s="1"/>
  <c r="L160" i="6"/>
  <c r="M19" i="8"/>
  <c r="P19" i="8" s="1"/>
  <c r="Q19" i="8" s="1"/>
  <c r="D19" i="8" s="1"/>
  <c r="M15" i="8"/>
  <c r="P15" i="8" s="1"/>
  <c r="Q15" i="8" s="1"/>
  <c r="D15" i="8" s="1"/>
  <c r="L271" i="6"/>
  <c r="O337" i="3"/>
  <c r="L337" i="3"/>
  <c r="P337" i="3" s="1"/>
  <c r="L130" i="6"/>
  <c r="L203" i="6"/>
  <c r="M18" i="8"/>
  <c r="P18" i="8" s="1"/>
  <c r="Q18" i="8" s="1"/>
  <c r="D18" i="8" s="1"/>
  <c r="O438" i="3"/>
  <c r="L127" i="6"/>
  <c r="AA45" i="6"/>
  <c r="AB45" i="6" s="1"/>
  <c r="N45" i="6" s="1"/>
  <c r="AA71" i="6"/>
  <c r="AB71" i="6" s="1"/>
  <c r="AA167" i="6"/>
  <c r="AB167" i="6" s="1"/>
  <c r="N167" i="6" s="1"/>
  <c r="AA261" i="6"/>
  <c r="AB261" i="6" s="1"/>
  <c r="AA273" i="6"/>
  <c r="AB273" i="6" s="1"/>
  <c r="AA294" i="6"/>
  <c r="AB294" i="6" s="1"/>
  <c r="N294" i="6" s="1"/>
  <c r="AA100" i="6"/>
  <c r="AA203" i="6"/>
  <c r="AB203" i="6" s="1"/>
  <c r="N203" i="6" s="1"/>
  <c r="AA271" i="6"/>
  <c r="AB271" i="6" s="1"/>
  <c r="N271" i="6" s="1"/>
  <c r="AA160" i="6"/>
  <c r="AB160" i="6" s="1"/>
  <c r="N160" i="6" s="1"/>
  <c r="AA177" i="6"/>
  <c r="AB177" i="6" s="1"/>
  <c r="N177" i="6" s="1"/>
  <c r="AA59" i="6"/>
  <c r="AB59" i="6" s="1"/>
  <c r="N59" i="6" s="1"/>
  <c r="AA103" i="6"/>
  <c r="AB103" i="6" s="1"/>
  <c r="N103" i="6" s="1"/>
  <c r="AA323" i="6"/>
  <c r="AB323" i="6" s="1"/>
  <c r="AA318" i="6"/>
  <c r="AB318" i="6" s="1"/>
  <c r="AA325" i="6"/>
  <c r="AB325" i="6" s="1"/>
  <c r="AA324" i="6"/>
  <c r="AB324" i="6" s="1"/>
  <c r="AA320" i="6"/>
  <c r="AB320" i="6" s="1"/>
  <c r="AA326" i="6"/>
  <c r="AB326" i="6" s="1"/>
  <c r="AA327" i="6"/>
  <c r="AB327" i="6" s="1"/>
  <c r="AA328" i="6"/>
  <c r="AB328" i="6" s="1"/>
  <c r="AA329" i="6"/>
  <c r="AB329" i="6" s="1"/>
  <c r="AA330" i="6"/>
  <c r="AB330" i="6" s="1"/>
  <c r="AA331" i="6"/>
  <c r="AB331" i="6" s="1"/>
  <c r="AA332" i="6"/>
  <c r="AB332" i="6" s="1"/>
  <c r="AA333" i="6"/>
  <c r="AB333" i="6" s="1"/>
  <c r="AA334" i="6"/>
  <c r="AB334" i="6" s="1"/>
  <c r="AA335" i="6"/>
  <c r="AB335" i="6" s="1"/>
  <c r="AA336" i="6"/>
  <c r="AB336" i="6" s="1"/>
  <c r="AA337" i="6"/>
  <c r="AB337" i="6" s="1"/>
  <c r="AA338" i="6"/>
  <c r="AB338" i="6" s="1"/>
  <c r="AA339" i="6"/>
  <c r="AB339" i="6" s="1"/>
  <c r="AA340" i="6"/>
  <c r="AA341" i="6"/>
  <c r="AA342" i="6"/>
  <c r="AA343" i="6"/>
  <c r="AA344" i="6"/>
  <c r="AA345" i="6"/>
  <c r="AA346" i="6"/>
  <c r="AA347" i="6"/>
  <c r="AA348" i="6"/>
  <c r="AA349" i="6"/>
  <c r="AA350" i="6"/>
  <c r="AA351" i="6"/>
  <c r="AA352" i="6"/>
  <c r="AA353" i="6"/>
  <c r="AA354" i="6"/>
  <c r="AA355" i="6"/>
  <c r="AA356" i="6"/>
  <c r="AA357" i="6"/>
  <c r="AA358" i="6"/>
  <c r="AA359" i="6"/>
  <c r="AA360" i="6"/>
  <c r="AA361" i="6"/>
  <c r="AA362" i="6"/>
  <c r="AA363" i="6"/>
  <c r="AA364" i="6"/>
  <c r="AA365" i="6"/>
  <c r="AA366" i="6"/>
  <c r="AA367" i="6"/>
  <c r="AA368" i="6"/>
  <c r="AA369" i="6"/>
  <c r="AA370" i="6"/>
  <c r="AA371" i="6"/>
  <c r="AA372" i="6"/>
  <c r="AA373" i="6"/>
  <c r="AA374" i="6"/>
  <c r="AA375" i="6"/>
  <c r="AA376" i="6"/>
  <c r="AA377" i="6"/>
  <c r="AA378" i="6"/>
  <c r="AA379" i="6"/>
  <c r="AA380" i="6"/>
  <c r="L100" i="6"/>
  <c r="M17" i="8"/>
  <c r="L154" i="6"/>
  <c r="L294" i="6"/>
  <c r="L262" i="6"/>
  <c r="L167" i="6"/>
  <c r="L31" i="6"/>
  <c r="L19" i="6"/>
  <c r="L190" i="3"/>
  <c r="L176" i="3"/>
  <c r="L334" i="3"/>
  <c r="P334" i="3" s="1"/>
  <c r="Q334" i="3" s="1"/>
  <c r="D334" i="3" s="1"/>
  <c r="L431" i="3"/>
  <c r="P431" i="3" s="1"/>
  <c r="Q431" i="3" s="1"/>
  <c r="D431" i="3" s="1"/>
  <c r="L421" i="3"/>
  <c r="P421" i="3" s="1"/>
  <c r="Q421" i="3" s="1"/>
  <c r="D421" i="3" s="1"/>
  <c r="L220" i="3"/>
  <c r="L60" i="3"/>
  <c r="L194" i="3"/>
  <c r="L398" i="3"/>
  <c r="L32" i="3"/>
  <c r="L87" i="3"/>
  <c r="L13" i="3"/>
  <c r="L127" i="3"/>
  <c r="L391" i="3"/>
  <c r="L470" i="3"/>
  <c r="L193" i="3"/>
  <c r="P193" i="3" s="1"/>
  <c r="Q193" i="3" s="1"/>
  <c r="D193" i="3" s="1"/>
  <c r="L263" i="3"/>
  <c r="P263" i="3" s="1"/>
  <c r="Q263" i="3" s="1"/>
  <c r="D263" i="3" s="1"/>
  <c r="L262" i="3"/>
  <c r="P262" i="3" s="1"/>
  <c r="Q262" i="3" s="1"/>
  <c r="D262" i="3" s="1"/>
  <c r="L408" i="3"/>
  <c r="P408" i="3" s="1"/>
  <c r="Q408" i="3" s="1"/>
  <c r="D408" i="3" s="1"/>
  <c r="L18" i="3"/>
  <c r="L20" i="3"/>
  <c r="L256" i="3"/>
  <c r="P256" i="3" s="1"/>
  <c r="Q256" i="3" s="1"/>
  <c r="D256" i="3" s="1"/>
  <c r="L166" i="3"/>
  <c r="P166" i="3" s="1"/>
  <c r="Q166" i="3" s="1"/>
  <c r="D166" i="3" s="1"/>
  <c r="L16" i="3"/>
  <c r="L9" i="3"/>
  <c r="L23" i="3"/>
  <c r="L464" i="3"/>
  <c r="P464" i="3" s="1"/>
  <c r="Q464" i="3" s="1"/>
  <c r="D464" i="3" s="1"/>
  <c r="L344" i="3"/>
  <c r="P344" i="3" s="1"/>
  <c r="Q344" i="3" s="1"/>
  <c r="D344" i="3" s="1"/>
  <c r="L101" i="3"/>
  <c r="P101" i="3" s="1"/>
  <c r="Q101" i="3" s="1"/>
  <c r="D101" i="3" s="1"/>
  <c r="L202" i="3"/>
  <c r="P202" i="3" s="1"/>
  <c r="Q202" i="3" s="1"/>
  <c r="D202" i="3" s="1"/>
  <c r="L20" i="4"/>
  <c r="P20" i="4" s="1"/>
  <c r="Q20" i="4" s="1"/>
  <c r="D20" i="4" s="1"/>
  <c r="L15" i="4"/>
  <c r="P15" i="4" s="1"/>
  <c r="Q15" i="4" s="1"/>
  <c r="D15" i="4" s="1"/>
  <c r="L71" i="3"/>
  <c r="P71" i="3" s="1"/>
  <c r="Q71" i="3" s="1"/>
  <c r="D71" i="3" s="1"/>
  <c r="L380" i="3"/>
  <c r="P380" i="3" s="1"/>
  <c r="Q380" i="3" s="1"/>
  <c r="D380" i="3" s="1"/>
  <c r="L303" i="3"/>
  <c r="L300" i="3"/>
  <c r="L7" i="3"/>
  <c r="L6" i="4"/>
  <c r="L28" i="3"/>
  <c r="L399" i="3"/>
  <c r="P399" i="3" s="1"/>
  <c r="Q399" i="3" s="1"/>
  <c r="D399" i="3" s="1"/>
  <c r="L351" i="3"/>
  <c r="P351" i="3" s="1"/>
  <c r="Q351" i="3" s="1"/>
  <c r="D351" i="3" s="1"/>
  <c r="L180" i="3"/>
  <c r="P180" i="3" s="1"/>
  <c r="Q180" i="3" s="1"/>
  <c r="D180" i="3" s="1"/>
  <c r="L42" i="3"/>
  <c r="P42" i="3" s="1"/>
  <c r="Q42" i="3" s="1"/>
  <c r="D42" i="3" s="1"/>
  <c r="L204" i="3"/>
  <c r="L49" i="3"/>
  <c r="P49" i="3" s="1"/>
  <c r="Q49" i="3" s="1"/>
  <c r="D49" i="3" s="1"/>
  <c r="L327" i="3"/>
  <c r="P327" i="3" s="1"/>
  <c r="Q327" i="3" s="1"/>
  <c r="D327" i="3" s="1"/>
  <c r="L279" i="3"/>
  <c r="P279" i="3" s="1"/>
  <c r="Q279" i="3" s="1"/>
  <c r="D279" i="3" s="1"/>
  <c r="L133" i="3"/>
  <c r="L246" i="3"/>
  <c r="P246" i="3" s="1"/>
  <c r="Q246" i="3" s="1"/>
  <c r="D246" i="3" s="1"/>
  <c r="L162" i="3"/>
  <c r="P162" i="3" s="1"/>
  <c r="Q162" i="3" s="1"/>
  <c r="D162" i="3" s="1"/>
  <c r="L266" i="3"/>
  <c r="L75" i="3"/>
  <c r="L416" i="3"/>
  <c r="L77" i="3"/>
  <c r="L89" i="3"/>
  <c r="L236" i="3"/>
  <c r="L390" i="3"/>
  <c r="AR18" i="3"/>
  <c r="AQ18" i="3"/>
  <c r="AP18" i="3"/>
  <c r="AO18" i="3"/>
  <c r="AM18" i="3"/>
  <c r="AG18" i="3"/>
  <c r="AF18" i="3"/>
  <c r="L39" i="4"/>
  <c r="P39" i="4" s="1"/>
  <c r="Q39" i="4" s="1"/>
  <c r="D39" i="4" s="1"/>
  <c r="L33" i="4"/>
  <c r="P33" i="4" s="1"/>
  <c r="Q33" i="4" s="1"/>
  <c r="D33" i="4" s="1"/>
  <c r="L14" i="4"/>
  <c r="P14" i="4" s="1"/>
  <c r="Q14" i="4" s="1"/>
  <c r="D14" i="4" s="1"/>
  <c r="L18" i="4"/>
  <c r="L28" i="4"/>
  <c r="L17" i="3"/>
  <c r="L438" i="3"/>
  <c r="L10" i="3"/>
  <c r="P203" i="6" l="1"/>
  <c r="Q203" i="6" s="1"/>
  <c r="D203" i="6" s="1"/>
  <c r="P59" i="6"/>
  <c r="Q59" i="6" s="1"/>
  <c r="D59" i="6" s="1"/>
  <c r="P294" i="6"/>
  <c r="Q294" i="6" s="1"/>
  <c r="D294" i="6" s="1"/>
  <c r="P45" i="6"/>
  <c r="Q45" i="6" s="1"/>
  <c r="D45" i="6" s="1"/>
  <c r="Q48" i="5"/>
  <c r="D48" i="5" s="1"/>
  <c r="Q22" i="5"/>
  <c r="D22" i="5" s="1"/>
  <c r="Q36" i="5"/>
  <c r="D36" i="5" s="1"/>
  <c r="Q24" i="5"/>
  <c r="D24" i="5" s="1"/>
  <c r="Q13" i="5"/>
  <c r="D13" i="5" s="1"/>
  <c r="Q19" i="5"/>
  <c r="D19" i="5" s="1"/>
  <c r="Q30" i="5"/>
  <c r="D30" i="5" s="1"/>
  <c r="Q45" i="5"/>
  <c r="D45" i="5" s="1"/>
  <c r="Q15" i="5"/>
  <c r="D15" i="5" s="1"/>
  <c r="Q17" i="5"/>
  <c r="D17" i="5" s="1"/>
  <c r="Q29" i="5"/>
  <c r="D29" i="5" s="1"/>
  <c r="P103" i="6"/>
  <c r="Q103" i="6" s="1"/>
  <c r="D103" i="6" s="1"/>
  <c r="P271" i="6"/>
  <c r="Q271" i="6" s="1"/>
  <c r="D271" i="6" s="1"/>
  <c r="P160" i="6"/>
  <c r="Q160" i="6" s="1"/>
  <c r="D160" i="6" s="1"/>
  <c r="P167" i="6"/>
  <c r="Q167" i="6" s="1"/>
  <c r="D167" i="6" s="1"/>
  <c r="P177" i="6"/>
  <c r="Q177" i="6" s="1"/>
  <c r="D177" i="6" s="1"/>
  <c r="Q26" i="3"/>
  <c r="D26" i="3" s="1"/>
  <c r="P16" i="2"/>
  <c r="Q16" i="2" s="1"/>
  <c r="D16" i="2" s="1"/>
  <c r="N40" i="6"/>
  <c r="P40" i="6" s="1"/>
  <c r="Q40" i="6" s="1"/>
  <c r="D40" i="6" s="1"/>
  <c r="N231" i="6"/>
  <c r="P231" i="6" s="1"/>
  <c r="Q231" i="6" s="1"/>
  <c r="D231" i="6" s="1"/>
  <c r="N297" i="6"/>
  <c r="P297" i="6" s="1"/>
  <c r="Q297" i="6" s="1"/>
  <c r="D297" i="6" s="1"/>
  <c r="N135" i="6"/>
  <c r="P135" i="6" s="1"/>
  <c r="Q135" i="6" s="1"/>
  <c r="D135" i="6" s="1"/>
  <c r="N152" i="6"/>
  <c r="P152" i="6" s="1"/>
  <c r="Q152" i="6" s="1"/>
  <c r="D152" i="6" s="1"/>
  <c r="N163" i="6"/>
  <c r="P163" i="6" s="1"/>
  <c r="Q163" i="6" s="1"/>
  <c r="D163" i="6" s="1"/>
  <c r="N66" i="6"/>
  <c r="P66" i="6" s="1"/>
  <c r="Q66" i="6" s="1"/>
  <c r="D66" i="6" s="1"/>
  <c r="N169" i="6"/>
  <c r="P169" i="6" s="1"/>
  <c r="Q169" i="6" s="1"/>
  <c r="D169" i="6" s="1"/>
  <c r="N240" i="6"/>
  <c r="P240" i="6" s="1"/>
  <c r="Q240" i="6" s="1"/>
  <c r="D240" i="6" s="1"/>
  <c r="N109" i="6"/>
  <c r="P109" i="6" s="1"/>
  <c r="Q109" i="6" s="1"/>
  <c r="D109" i="6" s="1"/>
  <c r="N246" i="6"/>
  <c r="P246" i="6" s="1"/>
  <c r="Q246" i="6" s="1"/>
  <c r="D246" i="6" s="1"/>
  <c r="N50" i="6"/>
  <c r="P50" i="6" s="1"/>
  <c r="Q50" i="6" s="1"/>
  <c r="D50" i="6" s="1"/>
  <c r="N165" i="6"/>
  <c r="P165" i="6" s="1"/>
  <c r="Q165" i="6" s="1"/>
  <c r="D165" i="6" s="1"/>
  <c r="N214" i="6"/>
  <c r="P214" i="6" s="1"/>
  <c r="Q214" i="6" s="1"/>
  <c r="D214" i="6" s="1"/>
  <c r="N58" i="6"/>
  <c r="P58" i="6" s="1"/>
  <c r="Q58" i="6" s="1"/>
  <c r="D58" i="6" s="1"/>
  <c r="N144" i="6"/>
  <c r="P144" i="6" s="1"/>
  <c r="Q144" i="6" s="1"/>
  <c r="D144" i="6" s="1"/>
  <c r="N256" i="6"/>
  <c r="P256" i="6" s="1"/>
  <c r="Q256" i="6" s="1"/>
  <c r="D256" i="6" s="1"/>
  <c r="N142" i="6"/>
  <c r="P142" i="6" s="1"/>
  <c r="Q142" i="6" s="1"/>
  <c r="D142" i="6" s="1"/>
  <c r="N273" i="6"/>
  <c r="P273" i="6" s="1"/>
  <c r="Q273" i="6" s="1"/>
  <c r="D273" i="6" s="1"/>
  <c r="N320" i="6"/>
  <c r="P320" i="6" s="1"/>
  <c r="Q320" i="6" s="1"/>
  <c r="D320" i="6" s="1"/>
  <c r="N71" i="6"/>
  <c r="P71" i="6" s="1"/>
  <c r="Q71" i="6" s="1"/>
  <c r="D71" i="6" s="1"/>
  <c r="N250" i="6"/>
  <c r="P250" i="6" s="1"/>
  <c r="Q250" i="6" s="1"/>
  <c r="D250" i="6" s="1"/>
  <c r="N64" i="6"/>
  <c r="P64" i="6" s="1"/>
  <c r="Q64" i="6" s="1"/>
  <c r="D64" i="6" s="1"/>
  <c r="N175" i="6"/>
  <c r="P175" i="6" s="1"/>
  <c r="Q175" i="6" s="1"/>
  <c r="D175" i="6" s="1"/>
  <c r="N257" i="6"/>
  <c r="P257" i="6" s="1"/>
  <c r="Q257" i="6" s="1"/>
  <c r="D257" i="6" s="1"/>
  <c r="N49" i="6"/>
  <c r="P49" i="6" s="1"/>
  <c r="Q49" i="6" s="1"/>
  <c r="D49" i="6" s="1"/>
  <c r="N230" i="6"/>
  <c r="P230" i="6" s="1"/>
  <c r="Q230" i="6" s="1"/>
  <c r="D230" i="6" s="1"/>
  <c r="N69" i="6"/>
  <c r="P69" i="6" s="1"/>
  <c r="Q69" i="6" s="1"/>
  <c r="D69" i="6" s="1"/>
  <c r="N186" i="6"/>
  <c r="P186" i="6" s="1"/>
  <c r="Q186" i="6" s="1"/>
  <c r="D186" i="6" s="1"/>
  <c r="N264" i="6"/>
  <c r="P264" i="6" s="1"/>
  <c r="Q264" i="6" s="1"/>
  <c r="D264" i="6" s="1"/>
  <c r="N92" i="6"/>
  <c r="P92" i="6" s="1"/>
  <c r="Q92" i="6" s="1"/>
  <c r="D92" i="6" s="1"/>
  <c r="N62" i="6"/>
  <c r="P62" i="6" s="1"/>
  <c r="Q62" i="6" s="1"/>
  <c r="D62" i="6" s="1"/>
  <c r="N255" i="6"/>
  <c r="P255" i="6" s="1"/>
  <c r="Q255" i="6" s="1"/>
  <c r="D255" i="6" s="1"/>
  <c r="N57" i="6"/>
  <c r="P57" i="6" s="1"/>
  <c r="Q57" i="6" s="1"/>
  <c r="D57" i="6" s="1"/>
  <c r="N254" i="6"/>
  <c r="P254" i="6" s="1"/>
  <c r="Q254" i="6" s="1"/>
  <c r="D254" i="6" s="1"/>
  <c r="N318" i="6"/>
  <c r="P318" i="6" s="1"/>
  <c r="Q318" i="6" s="1"/>
  <c r="D318" i="6" s="1"/>
  <c r="N232" i="6"/>
  <c r="P232" i="6" s="1"/>
  <c r="Q232" i="6" s="1"/>
  <c r="D232" i="6" s="1"/>
  <c r="N83" i="6"/>
  <c r="P83" i="6" s="1"/>
  <c r="Q83" i="6" s="1"/>
  <c r="D83" i="6" s="1"/>
  <c r="N199" i="6"/>
  <c r="P199" i="6" s="1"/>
  <c r="Q199" i="6" s="1"/>
  <c r="D199" i="6" s="1"/>
  <c r="N252" i="6"/>
  <c r="P252" i="6" s="1"/>
  <c r="Q252" i="6" s="1"/>
  <c r="D252" i="6" s="1"/>
  <c r="N179" i="6"/>
  <c r="P179" i="6" s="1"/>
  <c r="Q179" i="6" s="1"/>
  <c r="D179" i="6" s="1"/>
  <c r="N325" i="6"/>
  <c r="P325" i="6" s="1"/>
  <c r="Q325" i="6" s="1"/>
  <c r="D325" i="6" s="1"/>
  <c r="N323" i="6"/>
  <c r="P323" i="6" s="1"/>
  <c r="Q323" i="6" s="1"/>
  <c r="D323" i="6" s="1"/>
  <c r="N22" i="6"/>
  <c r="P22" i="6" s="1"/>
  <c r="Q22" i="6" s="1"/>
  <c r="D22" i="6" s="1"/>
  <c r="N95" i="6"/>
  <c r="P95" i="6" s="1"/>
  <c r="Q95" i="6" s="1"/>
  <c r="D95" i="6" s="1"/>
  <c r="N201" i="6"/>
  <c r="P201" i="6" s="1"/>
  <c r="Q201" i="6" s="1"/>
  <c r="D201" i="6" s="1"/>
  <c r="N270" i="6"/>
  <c r="P270" i="6" s="1"/>
  <c r="Q270" i="6" s="1"/>
  <c r="D270" i="6" s="1"/>
  <c r="N94" i="6"/>
  <c r="P94" i="6" s="1"/>
  <c r="Q94" i="6" s="1"/>
  <c r="D94" i="6" s="1"/>
  <c r="N29" i="6"/>
  <c r="P29" i="6" s="1"/>
  <c r="Q29" i="6" s="1"/>
  <c r="D29" i="6" s="1"/>
  <c r="N98" i="6"/>
  <c r="P98" i="6" s="1"/>
  <c r="Q98" i="6" s="1"/>
  <c r="D98" i="6" s="1"/>
  <c r="N207" i="6"/>
  <c r="P207" i="6" s="1"/>
  <c r="Q207" i="6" s="1"/>
  <c r="D207" i="6" s="1"/>
  <c r="N278" i="6"/>
  <c r="P278" i="6" s="1"/>
  <c r="Q278" i="6" s="1"/>
  <c r="D278" i="6" s="1"/>
  <c r="N307" i="6"/>
  <c r="P307" i="6" s="1"/>
  <c r="Q307" i="6" s="1"/>
  <c r="D307" i="6" s="1"/>
  <c r="N239" i="6"/>
  <c r="P239" i="6" s="1"/>
  <c r="Q239" i="6" s="1"/>
  <c r="D239" i="6" s="1"/>
  <c r="N200" i="6"/>
  <c r="P200" i="6" s="1"/>
  <c r="Q200" i="6" s="1"/>
  <c r="D200" i="6" s="1"/>
  <c r="N38" i="6"/>
  <c r="P38" i="6" s="1"/>
  <c r="Q38" i="6" s="1"/>
  <c r="D38" i="6" s="1"/>
  <c r="N106" i="6"/>
  <c r="P106" i="6" s="1"/>
  <c r="Q106" i="6" s="1"/>
  <c r="D106" i="6" s="1"/>
  <c r="N213" i="6"/>
  <c r="P213" i="6" s="1"/>
  <c r="Q213" i="6" s="1"/>
  <c r="D213" i="6" s="1"/>
  <c r="N286" i="6"/>
  <c r="P286" i="6" s="1"/>
  <c r="Q286" i="6" s="1"/>
  <c r="D286" i="6" s="1"/>
  <c r="N227" i="6"/>
  <c r="P227" i="6" s="1"/>
  <c r="Q227" i="6" s="1"/>
  <c r="D227" i="6" s="1"/>
  <c r="N243" i="6"/>
  <c r="P243" i="6" s="1"/>
  <c r="Q243" i="6" s="1"/>
  <c r="D243" i="6" s="1"/>
  <c r="N65" i="6"/>
  <c r="P65" i="6" s="1"/>
  <c r="Q65" i="6" s="1"/>
  <c r="D65" i="6" s="1"/>
  <c r="N261" i="6"/>
  <c r="P261" i="6" s="1"/>
  <c r="Q261" i="6" s="1"/>
  <c r="D261" i="6" s="1"/>
  <c r="N172" i="6"/>
  <c r="P172" i="6" s="1"/>
  <c r="Q172" i="6" s="1"/>
  <c r="D172" i="6" s="1"/>
  <c r="N324" i="6"/>
  <c r="P324" i="6" s="1"/>
  <c r="Q324" i="6" s="1"/>
  <c r="D324" i="6" s="1"/>
  <c r="N28" i="6"/>
  <c r="P28" i="6" s="1"/>
  <c r="Q28" i="6" s="1"/>
  <c r="D28" i="6" s="1"/>
  <c r="N39" i="6"/>
  <c r="P39" i="6" s="1"/>
  <c r="Q39" i="6" s="1"/>
  <c r="D39" i="6" s="1"/>
  <c r="N124" i="6"/>
  <c r="P124" i="6" s="1"/>
  <c r="Q124" i="6" s="1"/>
  <c r="D124" i="6" s="1"/>
  <c r="N212" i="6"/>
  <c r="P212" i="6" s="1"/>
  <c r="Q212" i="6" s="1"/>
  <c r="D212" i="6" s="1"/>
  <c r="N310" i="6"/>
  <c r="P310" i="6" s="1"/>
  <c r="Q310" i="6" s="1"/>
  <c r="D310" i="6" s="1"/>
  <c r="N36" i="4"/>
  <c r="P36" i="4" s="1"/>
  <c r="Q36" i="4" s="1"/>
  <c r="D36" i="4" s="1"/>
  <c r="N9" i="4"/>
  <c r="P9" i="4" s="1"/>
  <c r="Q9" i="4" s="1"/>
  <c r="D9" i="4" s="1"/>
  <c r="N13" i="4"/>
  <c r="P13" i="4" s="1"/>
  <c r="Q13" i="4" s="1"/>
  <c r="D13" i="4" s="1"/>
  <c r="N34" i="4"/>
  <c r="P34" i="4" s="1"/>
  <c r="Q34" i="4" s="1"/>
  <c r="D34" i="4" s="1"/>
  <c r="N17" i="4"/>
  <c r="P17" i="4" s="1"/>
  <c r="Q17" i="4" s="1"/>
  <c r="D17" i="4" s="1"/>
  <c r="N44" i="4"/>
  <c r="P44" i="4" s="1"/>
  <c r="Q44" i="4" s="1"/>
  <c r="D44" i="4" s="1"/>
  <c r="N24" i="4"/>
  <c r="P24" i="4" s="1"/>
  <c r="Q24" i="4" s="1"/>
  <c r="D24" i="4" s="1"/>
  <c r="N32" i="4"/>
  <c r="P32" i="4" s="1"/>
  <c r="Q32" i="4" s="1"/>
  <c r="D32" i="4" s="1"/>
  <c r="N29" i="4"/>
  <c r="P29" i="4" s="1"/>
  <c r="Q29" i="4" s="1"/>
  <c r="D29" i="4" s="1"/>
  <c r="P194" i="3"/>
  <c r="Q194" i="3" s="1"/>
  <c r="D194" i="3" s="1"/>
  <c r="P398" i="3"/>
  <c r="Q398" i="3" s="1"/>
  <c r="D398" i="3" s="1"/>
  <c r="Q441" i="3"/>
  <c r="D441" i="3" s="1"/>
  <c r="Q219" i="3"/>
  <c r="D219" i="3" s="1"/>
  <c r="P133" i="3"/>
  <c r="Q133" i="3" s="1"/>
  <c r="D133" i="3" s="1"/>
  <c r="Q337" i="3"/>
  <c r="D337" i="3" s="1"/>
  <c r="Q124" i="3"/>
  <c r="D124" i="3" s="1"/>
  <c r="P168" i="1"/>
  <c r="Q168" i="1" s="1"/>
  <c r="D168" i="1" s="1"/>
  <c r="P260" i="1"/>
  <c r="Q260" i="1" s="1"/>
  <c r="D260" i="1" s="1"/>
  <c r="AA389" i="3"/>
  <c r="AB389" i="3" s="1"/>
  <c r="N389" i="3" s="1"/>
  <c r="P389" i="3" s="1"/>
  <c r="Q389" i="3" s="1"/>
  <c r="D389" i="3" s="1"/>
  <c r="AU18" i="3"/>
  <c r="AV18" i="3" s="1"/>
  <c r="AH18" i="3" s="1"/>
  <c r="AJ18" i="3" s="1"/>
  <c r="AK18" i="3" s="1"/>
  <c r="Y18" i="3" s="1"/>
  <c r="T93" i="1"/>
  <c r="AJ93" i="1"/>
  <c r="AK93" i="1" s="1"/>
  <c r="Y93" i="1" s="1"/>
  <c r="L226" i="1"/>
  <c r="P226" i="1" s="1"/>
  <c r="Q226" i="1" s="1"/>
  <c r="D226" i="1" s="1"/>
  <c r="L179" i="1"/>
  <c r="P179" i="1" s="1"/>
  <c r="Q179" i="1" s="1"/>
  <c r="D179" i="1" s="1"/>
  <c r="L24" i="2"/>
  <c r="L96" i="1"/>
  <c r="P96" i="1" s="1"/>
  <c r="Q96" i="1" s="1"/>
  <c r="D96" i="1" s="1"/>
  <c r="L263" i="1"/>
  <c r="L219" i="1"/>
  <c r="O43" i="5"/>
  <c r="Q43" i="5" s="1"/>
  <c r="D43" i="5" s="1"/>
  <c r="L39" i="2"/>
  <c r="L195" i="1"/>
  <c r="L76" i="1"/>
  <c r="P76" i="1" s="1"/>
  <c r="Q76" i="1" s="1"/>
  <c r="D76" i="1" s="1"/>
  <c r="L44" i="1"/>
  <c r="P44" i="1" s="1"/>
  <c r="Q44" i="1" s="1"/>
  <c r="D44" i="1" s="1"/>
  <c r="L256" i="1"/>
  <c r="P256" i="1" s="1"/>
  <c r="Q256" i="1" s="1"/>
  <c r="D256" i="1" s="1"/>
  <c r="L205" i="1"/>
  <c r="P205" i="1" s="1"/>
  <c r="Q205" i="1" s="1"/>
  <c r="D205" i="1" s="1"/>
  <c r="L183" i="1"/>
  <c r="P183" i="1" s="1"/>
  <c r="Q183" i="1" s="1"/>
  <c r="D183" i="1" s="1"/>
  <c r="L12" i="1"/>
  <c r="L18" i="1"/>
  <c r="L262" i="1"/>
  <c r="L45" i="1"/>
  <c r="L136" i="1"/>
  <c r="P136" i="1" s="1"/>
  <c r="Q136" i="1" s="1"/>
  <c r="D136" i="1" s="1"/>
  <c r="L206" i="1"/>
  <c r="P206" i="1" s="1"/>
  <c r="Q206" i="1" s="1"/>
  <c r="D206" i="1" s="1"/>
  <c r="L126" i="1"/>
  <c r="L189" i="1"/>
  <c r="L46" i="1"/>
  <c r="L188" i="1"/>
  <c r="L59" i="1"/>
  <c r="L272" i="1"/>
  <c r="L8" i="1"/>
  <c r="L254" i="1"/>
  <c r="L26" i="1"/>
  <c r="L7" i="1"/>
  <c r="L27" i="1"/>
  <c r="L47" i="1"/>
  <c r="L86" i="1"/>
  <c r="L64" i="1"/>
  <c r="P64" i="1" s="1"/>
  <c r="Q64" i="1" s="1"/>
  <c r="D64" i="1" s="1"/>
  <c r="L154" i="1"/>
  <c r="P154" i="1" s="1"/>
  <c r="Q154" i="1" s="1"/>
  <c r="D154" i="1" s="1"/>
  <c r="L125" i="1"/>
  <c r="P125" i="1" s="1"/>
  <c r="L129" i="1"/>
  <c r="P129" i="1" s="1"/>
  <c r="Q129" i="1" s="1"/>
  <c r="D129" i="1" s="1"/>
  <c r="L83" i="1"/>
  <c r="P83" i="1" s="1"/>
  <c r="Q83" i="1" s="1"/>
  <c r="D83" i="1" s="1"/>
  <c r="C125" i="1"/>
  <c r="L29" i="1"/>
  <c r="L9" i="1"/>
  <c r="L258" i="1"/>
  <c r="P258" i="1" s="1"/>
  <c r="Q258" i="1" s="1"/>
  <c r="D258" i="1" s="1"/>
  <c r="L218" i="1"/>
  <c r="P218" i="1" s="1"/>
  <c r="Q218" i="1" s="1"/>
  <c r="D218" i="1" s="1"/>
  <c r="L79" i="1"/>
  <c r="P79" i="1" s="1"/>
  <c r="Q79" i="1" s="1"/>
  <c r="D79" i="1" s="1"/>
  <c r="L246" i="1"/>
  <c r="L13" i="1"/>
  <c r="P13" i="1" s="1"/>
  <c r="Q13" i="1" s="1"/>
  <c r="D13" i="1" s="1"/>
  <c r="L15" i="1"/>
  <c r="L17" i="1"/>
  <c r="L10" i="1"/>
  <c r="L20" i="1"/>
  <c r="L19" i="1"/>
  <c r="L6" i="1"/>
  <c r="L14" i="1"/>
  <c r="L24" i="1"/>
  <c r="L16" i="1"/>
  <c r="L31" i="2"/>
  <c r="L41" i="2"/>
  <c r="L71" i="1"/>
  <c r="P71" i="1" s="1"/>
  <c r="Q71" i="1" s="1"/>
  <c r="D71" i="1" s="1"/>
  <c r="L199" i="1"/>
  <c r="P199" i="1" s="1"/>
  <c r="Q199" i="1" s="1"/>
  <c r="D199" i="1" s="1"/>
  <c r="L208" i="1"/>
  <c r="P208" i="1" s="1"/>
  <c r="Q208" i="1" s="1"/>
  <c r="D208" i="1" s="1"/>
  <c r="L243" i="1"/>
  <c r="P243" i="1" s="1"/>
  <c r="Q243" i="1" s="1"/>
  <c r="D243" i="1" s="1"/>
  <c r="L49" i="1"/>
  <c r="P49" i="1" s="1"/>
  <c r="Q49" i="1" s="1"/>
  <c r="D49" i="1" s="1"/>
  <c r="L239" i="1"/>
  <c r="P239" i="1" s="1"/>
  <c r="Q239" i="1" s="1"/>
  <c r="D239" i="1" s="1"/>
  <c r="L200" i="1"/>
  <c r="P200" i="1" s="1"/>
  <c r="Q200" i="1" s="1"/>
  <c r="D200" i="1" s="1"/>
  <c r="L185" i="1"/>
  <c r="P185" i="1" s="1"/>
  <c r="Q185" i="1" s="1"/>
  <c r="D185" i="1" s="1"/>
  <c r="L161" i="1"/>
  <c r="L60" i="1"/>
  <c r="P60" i="1" s="1"/>
  <c r="Q60" i="1" s="1"/>
  <c r="D60" i="1" s="1"/>
  <c r="L87" i="1"/>
  <c r="L244" i="1"/>
  <c r="P244" i="1" s="1"/>
  <c r="Q244" i="1" s="1"/>
  <c r="D244" i="1" s="1"/>
  <c r="L253" i="1"/>
  <c r="L89" i="1"/>
  <c r="P89" i="1" s="1"/>
  <c r="Q89" i="1" s="1"/>
  <c r="D89" i="1" s="1"/>
  <c r="L232" i="1"/>
  <c r="L170" i="1"/>
  <c r="P170" i="1" s="1"/>
  <c r="Q170" i="1" s="1"/>
  <c r="D170" i="1" s="1"/>
  <c r="L278" i="1"/>
  <c r="P278" i="1" s="1"/>
  <c r="Q278" i="1" s="1"/>
  <c r="D278" i="1" s="1"/>
  <c r="L94" i="1"/>
  <c r="L146" i="1"/>
  <c r="L174" i="1"/>
  <c r="L90" i="1"/>
  <c r="L25" i="1"/>
  <c r="L40" i="1"/>
  <c r="L230" i="1"/>
  <c r="P230" i="1" s="1"/>
  <c r="Q230" i="1" s="1"/>
  <c r="D230" i="1" s="1"/>
  <c r="L68" i="1"/>
  <c r="L109" i="1"/>
  <c r="L163" i="1"/>
  <c r="L164" i="1"/>
  <c r="L157" i="1"/>
  <c r="L121" i="1"/>
  <c r="L249" i="1"/>
  <c r="L196" i="1"/>
  <c r="L138" i="1"/>
  <c r="P138" i="1" s="1"/>
  <c r="Q138" i="1" s="1"/>
  <c r="D138" i="1" s="1"/>
  <c r="L91" i="1"/>
  <c r="L28" i="2"/>
  <c r="L30" i="2"/>
  <c r="L21" i="2"/>
  <c r="L101" i="1"/>
  <c r="P101" i="1" s="1"/>
  <c r="Q101" i="1" s="1"/>
  <c r="D101" i="1" s="1"/>
  <c r="L274" i="1"/>
  <c r="L166" i="1"/>
  <c r="L66" i="1"/>
  <c r="L269" i="1"/>
  <c r="L73" i="1"/>
  <c r="L22" i="1"/>
  <c r="L28" i="1"/>
  <c r="L229" i="1"/>
  <c r="L21" i="1"/>
  <c r="L26" i="5"/>
  <c r="P26" i="5" s="1"/>
  <c r="L35" i="5"/>
  <c r="P35" i="5" s="1"/>
  <c r="L20" i="5"/>
  <c r="L32" i="5"/>
  <c r="L18" i="5"/>
  <c r="P18" i="5" s="1"/>
  <c r="L33" i="5"/>
  <c r="P33" i="5" s="1"/>
  <c r="M269" i="6"/>
  <c r="M438" i="3"/>
  <c r="M127" i="6"/>
  <c r="M23" i="3"/>
  <c r="M396" i="3"/>
  <c r="M301" i="3"/>
  <c r="M391" i="3"/>
  <c r="M127" i="3"/>
  <c r="M300" i="3"/>
  <c r="M303" i="3"/>
  <c r="M421" i="3"/>
  <c r="M29" i="8"/>
  <c r="M31" i="6"/>
  <c r="M398" i="3"/>
  <c r="M334" i="3"/>
  <c r="M431" i="3"/>
  <c r="M11" i="2"/>
  <c r="M25" i="2"/>
  <c r="M29" i="2"/>
  <c r="M37" i="2"/>
  <c r="AH127" i="3"/>
  <c r="AG127" i="3"/>
  <c r="AF127" i="3"/>
  <c r="AE127" i="3"/>
  <c r="M413" i="3"/>
  <c r="M194" i="3"/>
  <c r="M148" i="3"/>
  <c r="M121" i="3"/>
  <c r="M402" i="3"/>
  <c r="S8" i="2"/>
  <c r="T8" i="2"/>
  <c r="U8" i="2"/>
  <c r="S10" i="2"/>
  <c r="T10" i="2"/>
  <c r="S12" i="2"/>
  <c r="U12" i="2"/>
  <c r="U14" i="2"/>
  <c r="U15" i="2"/>
  <c r="S18" i="2"/>
  <c r="T18" i="2"/>
  <c r="U18" i="2"/>
  <c r="S21" i="2"/>
  <c r="T21" i="2"/>
  <c r="U21" i="2"/>
  <c r="T30" i="2"/>
  <c r="U30" i="2"/>
  <c r="U13" i="2"/>
  <c r="T17" i="2"/>
  <c r="S19" i="2"/>
  <c r="S20" i="2"/>
  <c r="S22" i="2"/>
  <c r="T22" i="2"/>
  <c r="S23" i="2"/>
  <c r="S27" i="2"/>
  <c r="S31" i="2"/>
  <c r="S40" i="2"/>
  <c r="T42" i="2"/>
  <c r="T45" i="2"/>
  <c r="Q26" i="5" l="1"/>
  <c r="D26" i="5" s="1"/>
  <c r="Q33" i="5"/>
  <c r="D33" i="5" s="1"/>
  <c r="Q35" i="5"/>
  <c r="D35" i="5" s="1"/>
  <c r="Q18" i="5"/>
  <c r="D18" i="5" s="1"/>
  <c r="P37" i="2"/>
  <c r="Q37" i="2" s="1"/>
  <c r="D37" i="2" s="1"/>
  <c r="P39" i="2"/>
  <c r="Q39" i="2" s="1"/>
  <c r="D39" i="2" s="1"/>
  <c r="P41" i="2"/>
  <c r="Q41" i="2" s="1"/>
  <c r="D41" i="2" s="1"/>
  <c r="P29" i="2"/>
  <c r="Q29" i="2" s="1"/>
  <c r="D29" i="2" s="1"/>
  <c r="P24" i="2"/>
  <c r="Q24" i="2" s="1"/>
  <c r="D24" i="2" s="1"/>
  <c r="P25" i="2"/>
  <c r="Q25" i="2" s="1"/>
  <c r="D25" i="2" s="1"/>
  <c r="P11" i="2"/>
  <c r="Q11" i="2" s="1"/>
  <c r="D11" i="2" s="1"/>
  <c r="Q125" i="1"/>
  <c r="D125" i="1" s="1"/>
  <c r="AA18" i="3"/>
  <c r="AB18" i="3" s="1"/>
  <c r="N18" i="3" s="1"/>
  <c r="P18" i="3" s="1"/>
  <c r="Q18" i="3" s="1"/>
  <c r="D18" i="3" s="1"/>
  <c r="AA93" i="1"/>
  <c r="AB93" i="1" s="1"/>
  <c r="Y9" i="8"/>
  <c r="AA9" i="8" s="1"/>
  <c r="AB9" i="8" s="1"/>
  <c r="N9" i="8" s="1"/>
  <c r="P9" i="8" s="1"/>
  <c r="Q9" i="8" s="1"/>
  <c r="Y36" i="8"/>
  <c r="AA36" i="8" s="1"/>
  <c r="AB36" i="8" s="1"/>
  <c r="N36" i="8" s="1"/>
  <c r="P36" i="8" s="1"/>
  <c r="Q36" i="8" s="1"/>
  <c r="Y10" i="8"/>
  <c r="Y11" i="8"/>
  <c r="Y29" i="8"/>
  <c r="Y31" i="8"/>
  <c r="Y225" i="6"/>
  <c r="Y238" i="6"/>
  <c r="Y280" i="6"/>
  <c r="Y303" i="6"/>
  <c r="Y312" i="6"/>
  <c r="Y34" i="6"/>
  <c r="Y181" i="6"/>
  <c r="Y188" i="6"/>
  <c r="Y220" i="6"/>
  <c r="Y233" i="6"/>
  <c r="Y249" i="6"/>
  <c r="Y25" i="6"/>
  <c r="Y73" i="6"/>
  <c r="AA73" i="6" s="1"/>
  <c r="AB73" i="6" s="1"/>
  <c r="Y171" i="6"/>
  <c r="Y41" i="6"/>
  <c r="Y60" i="6"/>
  <c r="Y189" i="6"/>
  <c r="Y208" i="6"/>
  <c r="Y25" i="4"/>
  <c r="Y42" i="4"/>
  <c r="Y46" i="4"/>
  <c r="Y54" i="3"/>
  <c r="Y73" i="3"/>
  <c r="Y96" i="3"/>
  <c r="Y103" i="3"/>
  <c r="Y137" i="3"/>
  <c r="Y150" i="3"/>
  <c r="Y155" i="3"/>
  <c r="Y210" i="3"/>
  <c r="Y251" i="3"/>
  <c r="Y296" i="3"/>
  <c r="Y311" i="3"/>
  <c r="Y316" i="3"/>
  <c r="Y367" i="3"/>
  <c r="Y373" i="3"/>
  <c r="Y448" i="3"/>
  <c r="Y12" i="2"/>
  <c r="Y15" i="2"/>
  <c r="Y46" i="2"/>
  <c r="AA46" i="2" s="1"/>
  <c r="AB46" i="2" s="1"/>
  <c r="Y13" i="2"/>
  <c r="Y14" i="2"/>
  <c r="Y17" i="2"/>
  <c r="AA17" i="2" s="1"/>
  <c r="Y19" i="2"/>
  <c r="Y20" i="2"/>
  <c r="Y22" i="2"/>
  <c r="Y23" i="2"/>
  <c r="Y27" i="2"/>
  <c r="Y28" i="2"/>
  <c r="Y31" i="2"/>
  <c r="Y40" i="2"/>
  <c r="Y42" i="2"/>
  <c r="Y45" i="2"/>
  <c r="Y49" i="5"/>
  <c r="AA49" i="5" s="1"/>
  <c r="AB49" i="5" s="1"/>
  <c r="N49" i="5" s="1"/>
  <c r="P49" i="5" s="1"/>
  <c r="Q49" i="5" s="1"/>
  <c r="AJ10" i="1"/>
  <c r="AK10" i="1" s="1"/>
  <c r="AJ31" i="1"/>
  <c r="AK31" i="1" s="1"/>
  <c r="Y31" i="1" s="1"/>
  <c r="AA31" i="1" s="1"/>
  <c r="AB31" i="1" s="1"/>
  <c r="N31" i="1" s="1"/>
  <c r="P31" i="1" s="1"/>
  <c r="Q31" i="1" s="1"/>
  <c r="AJ34" i="1"/>
  <c r="AK34" i="1" s="1"/>
  <c r="AJ54" i="1"/>
  <c r="AK54" i="1" s="1"/>
  <c r="AJ85" i="1"/>
  <c r="AK85" i="1" s="1"/>
  <c r="Y85" i="1" s="1"/>
  <c r="AJ92" i="1"/>
  <c r="AK92" i="1" s="1"/>
  <c r="AJ98" i="1"/>
  <c r="AK98" i="1" s="1"/>
  <c r="Y98" i="1" s="1"/>
  <c r="AJ113" i="1"/>
  <c r="AK113" i="1" s="1"/>
  <c r="AJ135" i="1"/>
  <c r="AK135" i="1" s="1"/>
  <c r="Y135" i="1" s="1"/>
  <c r="AJ151" i="1"/>
  <c r="AK151" i="1" s="1"/>
  <c r="AJ152" i="1"/>
  <c r="AK152" i="1" s="1"/>
  <c r="AJ153" i="1"/>
  <c r="AK153" i="1" s="1"/>
  <c r="AJ169" i="1"/>
  <c r="AK169" i="1" s="1"/>
  <c r="Y169" i="1" s="1"/>
  <c r="AJ186" i="1"/>
  <c r="AK186" i="1" s="1"/>
  <c r="AJ190" i="1"/>
  <c r="AK190" i="1" s="1"/>
  <c r="AJ197" i="1"/>
  <c r="AK197" i="1" s="1"/>
  <c r="Y197" i="1" s="1"/>
  <c r="AJ21" i="1"/>
  <c r="AK21" i="1" s="1"/>
  <c r="Y21" i="1" s="1"/>
  <c r="AJ224" i="1"/>
  <c r="AK224" i="1" s="1"/>
  <c r="AJ245" i="1"/>
  <c r="AK245" i="1" s="1"/>
  <c r="AJ266" i="1"/>
  <c r="AK266" i="1" s="1"/>
  <c r="Y266" i="1" s="1"/>
  <c r="AJ275" i="1"/>
  <c r="AK275" i="1" s="1"/>
  <c r="Y275" i="1" s="1"/>
  <c r="AJ33" i="1"/>
  <c r="AK33" i="1" s="1"/>
  <c r="Y33" i="1" s="1"/>
  <c r="AJ36" i="1"/>
  <c r="AK36" i="1" s="1"/>
  <c r="Y36" i="1" s="1"/>
  <c r="AJ40" i="1"/>
  <c r="AK40" i="1" s="1"/>
  <c r="Y40" i="1" s="1"/>
  <c r="AJ45" i="1"/>
  <c r="AK45" i="1" s="1"/>
  <c r="Y45" i="1" s="1"/>
  <c r="AJ46" i="1"/>
  <c r="AK46" i="1" s="1"/>
  <c r="Y46" i="1" s="1"/>
  <c r="AJ48" i="1"/>
  <c r="AK48" i="1" s="1"/>
  <c r="Y48" i="1" s="1"/>
  <c r="AJ52" i="1"/>
  <c r="AK52" i="1" s="1"/>
  <c r="Y52" i="1" s="1"/>
  <c r="AJ53" i="1"/>
  <c r="AK53" i="1" s="1"/>
  <c r="Y53" i="1" s="1"/>
  <c r="AJ7" i="1"/>
  <c r="AK7" i="1" s="1"/>
  <c r="Y7" i="1" s="1"/>
  <c r="AJ59" i="1"/>
  <c r="AK59" i="1" s="1"/>
  <c r="Y59" i="1" s="1"/>
  <c r="AJ62" i="1"/>
  <c r="AK62" i="1" s="1"/>
  <c r="Y62" i="1" s="1"/>
  <c r="AJ65" i="1"/>
  <c r="AK65" i="1" s="1"/>
  <c r="Y65" i="1" s="1"/>
  <c r="AJ66" i="1"/>
  <c r="AK66" i="1" s="1"/>
  <c r="Y66" i="1" s="1"/>
  <c r="AJ68" i="1"/>
  <c r="AK68" i="1" s="1"/>
  <c r="Y68" i="1" s="1"/>
  <c r="AJ69" i="1"/>
  <c r="AK69" i="1" s="1"/>
  <c r="Y69" i="1" s="1"/>
  <c r="AJ73" i="1"/>
  <c r="AK73" i="1" s="1"/>
  <c r="Y73" i="1" s="1"/>
  <c r="AJ86" i="1"/>
  <c r="AK86" i="1" s="1"/>
  <c r="Y86" i="1" s="1"/>
  <c r="AJ87" i="1"/>
  <c r="AK87" i="1" s="1"/>
  <c r="Y87" i="1" s="1"/>
  <c r="AJ88" i="1"/>
  <c r="AK88" i="1" s="1"/>
  <c r="Y88" i="1" s="1"/>
  <c r="AJ90" i="1"/>
  <c r="AK90" i="1" s="1"/>
  <c r="Y90" i="1" s="1"/>
  <c r="AJ94" i="1"/>
  <c r="AK94" i="1" s="1"/>
  <c r="Y94" i="1" s="1"/>
  <c r="AA94" i="1" s="1"/>
  <c r="AB94" i="1" s="1"/>
  <c r="AJ95" i="1"/>
  <c r="AK95" i="1" s="1"/>
  <c r="Y95" i="1" s="1"/>
  <c r="AJ99" i="1"/>
  <c r="AK99" i="1" s="1"/>
  <c r="Y99" i="1" s="1"/>
  <c r="AJ105" i="1"/>
  <c r="AK105" i="1" s="1"/>
  <c r="Y105" i="1" s="1"/>
  <c r="AJ106" i="1"/>
  <c r="AK106" i="1" s="1"/>
  <c r="Y106" i="1" s="1"/>
  <c r="AJ108" i="1"/>
  <c r="AK108" i="1" s="1"/>
  <c r="Y108" i="1" s="1"/>
  <c r="AJ12" i="1"/>
  <c r="AK12" i="1" s="1"/>
  <c r="Y12" i="1" s="1"/>
  <c r="AJ111" i="1"/>
  <c r="AK111" i="1" s="1"/>
  <c r="Y111" i="1" s="1"/>
  <c r="AJ112" i="1"/>
  <c r="AK112" i="1" s="1"/>
  <c r="Y112" i="1" s="1"/>
  <c r="AJ119" i="1"/>
  <c r="AK119" i="1" s="1"/>
  <c r="Y119" i="1" s="1"/>
  <c r="AJ124" i="1"/>
  <c r="AK124" i="1" s="1"/>
  <c r="Y124" i="1" s="1"/>
  <c r="AJ126" i="1"/>
  <c r="AK126" i="1" s="1"/>
  <c r="Y126" i="1" s="1"/>
  <c r="AJ131" i="1"/>
  <c r="AK131" i="1" s="1"/>
  <c r="Y131" i="1" s="1"/>
  <c r="AJ132" i="1"/>
  <c r="AK132" i="1" s="1"/>
  <c r="Y132" i="1" s="1"/>
  <c r="AJ133" i="1"/>
  <c r="AK133" i="1" s="1"/>
  <c r="Y133" i="1" s="1"/>
  <c r="AJ139" i="1"/>
  <c r="AK139" i="1" s="1"/>
  <c r="Y139" i="1" s="1"/>
  <c r="AJ143" i="1"/>
  <c r="AK143" i="1" s="1"/>
  <c r="Y143" i="1" s="1"/>
  <c r="AJ146" i="1"/>
  <c r="AK146" i="1" s="1"/>
  <c r="Y146" i="1" s="1"/>
  <c r="AJ155" i="1"/>
  <c r="AK155" i="1" s="1"/>
  <c r="Y155" i="1" s="1"/>
  <c r="AJ156" i="1"/>
  <c r="AK156" i="1" s="1"/>
  <c r="Y156" i="1" s="1"/>
  <c r="AJ157" i="1"/>
  <c r="AK157" i="1" s="1"/>
  <c r="Y157" i="1" s="1"/>
  <c r="AJ161" i="1"/>
  <c r="AK161" i="1" s="1"/>
  <c r="Y161" i="1" s="1"/>
  <c r="AJ163" i="1"/>
  <c r="AK163" i="1" s="1"/>
  <c r="Y163" i="1" s="1"/>
  <c r="AJ164" i="1"/>
  <c r="AK164" i="1" s="1"/>
  <c r="Y164" i="1" s="1"/>
  <c r="AJ166" i="1"/>
  <c r="AK166" i="1" s="1"/>
  <c r="Y166" i="1" s="1"/>
  <c r="AJ172" i="1"/>
  <c r="AK172" i="1" s="1"/>
  <c r="Y172" i="1" s="1"/>
  <c r="AJ173" i="1"/>
  <c r="AK173" i="1" s="1"/>
  <c r="Y173" i="1" s="1"/>
  <c r="AJ174" i="1"/>
  <c r="AK174" i="1" s="1"/>
  <c r="Y174" i="1" s="1"/>
  <c r="AJ187" i="1"/>
  <c r="AK187" i="1" s="1"/>
  <c r="Y187" i="1" s="1"/>
  <c r="AJ18" i="1"/>
  <c r="AK18" i="1" s="1"/>
  <c r="Y18" i="1" s="1"/>
  <c r="AJ189" i="1"/>
  <c r="AK189" i="1" s="1"/>
  <c r="Y189" i="1" s="1"/>
  <c r="AJ192" i="1"/>
  <c r="AK192" i="1" s="1"/>
  <c r="Y192" i="1" s="1"/>
  <c r="AJ194" i="1"/>
  <c r="AK194" i="1" s="1"/>
  <c r="Y194" i="1" s="1"/>
  <c r="AJ195" i="1"/>
  <c r="AK195" i="1" s="1"/>
  <c r="Y195" i="1" s="1"/>
  <c r="AJ196" i="1"/>
  <c r="AK196" i="1" s="1"/>
  <c r="Y196" i="1" s="1"/>
  <c r="AJ198" i="1"/>
  <c r="AK198" i="1" s="1"/>
  <c r="Y198" i="1" s="1"/>
  <c r="AJ214" i="1"/>
  <c r="AK214" i="1" s="1"/>
  <c r="Y214" i="1" s="1"/>
  <c r="AJ216" i="1"/>
  <c r="AK216" i="1" s="1"/>
  <c r="Y216" i="1" s="1"/>
  <c r="AJ219" i="1"/>
  <c r="AK219" i="1" s="1"/>
  <c r="Y219" i="1" s="1"/>
  <c r="AJ220" i="1"/>
  <c r="AK220" i="1" s="1"/>
  <c r="Y220" i="1" s="1"/>
  <c r="AJ222" i="1"/>
  <c r="AK222" i="1" s="1"/>
  <c r="Y222" i="1" s="1"/>
  <c r="AJ25" i="1"/>
  <c r="AK25" i="1" s="1"/>
  <c r="Y25" i="1" s="1"/>
  <c r="AJ26" i="1"/>
  <c r="AK26" i="1" s="1"/>
  <c r="Y26" i="1" s="1"/>
  <c r="AJ231" i="1"/>
  <c r="AK231" i="1" s="1"/>
  <c r="Y231" i="1" s="1"/>
  <c r="AJ232" i="1"/>
  <c r="AK232" i="1" s="1"/>
  <c r="Y232" i="1" s="1"/>
  <c r="AJ247" i="1"/>
  <c r="AK247" i="1" s="1"/>
  <c r="Y247" i="1" s="1"/>
  <c r="AJ249" i="1"/>
  <c r="AK249" i="1" s="1"/>
  <c r="Y249" i="1" s="1"/>
  <c r="AJ253" i="1"/>
  <c r="AK253" i="1" s="1"/>
  <c r="Y253" i="1" s="1"/>
  <c r="AJ261" i="1"/>
  <c r="AK261" i="1" s="1"/>
  <c r="Y261" i="1" s="1"/>
  <c r="AJ262" i="1"/>
  <c r="AK262" i="1" s="1"/>
  <c r="Y262" i="1" s="1"/>
  <c r="AJ263" i="1"/>
  <c r="AK263" i="1" s="1"/>
  <c r="Y263" i="1" s="1"/>
  <c r="AJ269" i="1"/>
  <c r="AK269" i="1" s="1"/>
  <c r="Y269" i="1" s="1"/>
  <c r="AJ274" i="1"/>
  <c r="AK274" i="1" s="1"/>
  <c r="Y274" i="1" s="1"/>
  <c r="AJ279" i="1"/>
  <c r="AK279" i="1" s="1"/>
  <c r="Y279" i="1" s="1"/>
  <c r="S232" i="1"/>
  <c r="T232" i="1"/>
  <c r="S214" i="1"/>
  <c r="T214" i="1"/>
  <c r="W214" i="1"/>
  <c r="S192" i="1"/>
  <c r="V192" i="1"/>
  <c r="S195" i="1"/>
  <c r="S146" i="1"/>
  <c r="T146" i="1"/>
  <c r="U146" i="1"/>
  <c r="V146" i="1"/>
  <c r="V132" i="1"/>
  <c r="X87" i="1"/>
  <c r="AE43" i="2"/>
  <c r="AJ43" i="2" s="1"/>
  <c r="AK43" i="2" s="1"/>
  <c r="V14" i="2"/>
  <c r="W14" i="2"/>
  <c r="S254" i="1"/>
  <c r="T254" i="1"/>
  <c r="U254" i="1"/>
  <c r="V254" i="1"/>
  <c r="W254" i="1"/>
  <c r="AE254" i="1"/>
  <c r="AF254" i="1"/>
  <c r="AM254" i="1"/>
  <c r="AO254" i="1"/>
  <c r="AP254" i="1"/>
  <c r="AQ254" i="1"/>
  <c r="AR254" i="1"/>
  <c r="U275" i="1"/>
  <c r="V275" i="1"/>
  <c r="W275" i="1"/>
  <c r="AD275" i="1"/>
  <c r="T211" i="1"/>
  <c r="U211" i="1"/>
  <c r="V211" i="1"/>
  <c r="W211" i="1"/>
  <c r="AD211" i="1"/>
  <c r="AQ211" i="1"/>
  <c r="AU211" i="1" s="1"/>
  <c r="AV211" i="1" s="1"/>
  <c r="AH211" i="1" s="1"/>
  <c r="AJ211" i="1" s="1"/>
  <c r="AK211" i="1" s="1"/>
  <c r="AE145" i="1"/>
  <c r="AP130" i="1"/>
  <c r="AU130" i="1" s="1"/>
  <c r="AV130" i="1" s="1"/>
  <c r="AH130" i="1" s="1"/>
  <c r="AJ130" i="1" s="1"/>
  <c r="AK130" i="1" s="1"/>
  <c r="AO115" i="1"/>
  <c r="AU115" i="1" s="1"/>
  <c r="AV115" i="1" s="1"/>
  <c r="AH115" i="1" s="1"/>
  <c r="AU117" i="1"/>
  <c r="AV117" i="1" s="1"/>
  <c r="AH117" i="1" s="1"/>
  <c r="AJ117" i="1" s="1"/>
  <c r="AK117" i="1" s="1"/>
  <c r="AQ57" i="1"/>
  <c r="AU57" i="1" s="1"/>
  <c r="AV57" i="1" s="1"/>
  <c r="AH57" i="1" s="1"/>
  <c r="S8" i="1"/>
  <c r="T8" i="1"/>
  <c r="U8" i="1"/>
  <c r="V8" i="1"/>
  <c r="Z8" i="1"/>
  <c r="AD8" i="1"/>
  <c r="AE8" i="1"/>
  <c r="AF8" i="1"/>
  <c r="AQ8" i="1"/>
  <c r="AU8" i="1" s="1"/>
  <c r="AV8" i="1" s="1"/>
  <c r="AH8" i="1" s="1"/>
  <c r="AQ72" i="1"/>
  <c r="AU72" i="1" s="1"/>
  <c r="AV72" i="1" s="1"/>
  <c r="AH72" i="1" s="1"/>
  <c r="AF97" i="1"/>
  <c r="AQ97" i="1"/>
  <c r="AR97" i="1"/>
  <c r="AD42" i="1"/>
  <c r="AU42" i="1"/>
  <c r="AV42" i="1" s="1"/>
  <c r="AH42" i="1" s="1"/>
  <c r="AJ42" i="1" s="1"/>
  <c r="AK42" i="1" s="1"/>
  <c r="AD7" i="5"/>
  <c r="AD9" i="5"/>
  <c r="AD10" i="5"/>
  <c r="AD16" i="5"/>
  <c r="AD32" i="5"/>
  <c r="AD42" i="5"/>
  <c r="AD46" i="5"/>
  <c r="AD47" i="5"/>
  <c r="AJ48" i="3"/>
  <c r="AK48" i="3" s="1"/>
  <c r="Y48" i="3" s="1"/>
  <c r="AJ56" i="3"/>
  <c r="AK56" i="3" s="1"/>
  <c r="Y56" i="3" s="1"/>
  <c r="AJ60" i="3"/>
  <c r="AK60" i="3" s="1"/>
  <c r="Y60" i="3" s="1"/>
  <c r="AJ86" i="3"/>
  <c r="AK86" i="3" s="1"/>
  <c r="Y86" i="3" s="1"/>
  <c r="AJ104" i="3"/>
  <c r="AK104" i="3" s="1"/>
  <c r="AJ105" i="3"/>
  <c r="AK105" i="3" s="1"/>
  <c r="Y105" i="3" s="1"/>
  <c r="AJ98" i="3"/>
  <c r="AK98" i="3" s="1"/>
  <c r="Y98" i="3" s="1"/>
  <c r="AJ127" i="3"/>
  <c r="AK127" i="3" s="1"/>
  <c r="Y127" i="3" s="1"/>
  <c r="AJ131" i="3"/>
  <c r="AK131" i="3" s="1"/>
  <c r="Y131" i="3" s="1"/>
  <c r="AJ141" i="3"/>
  <c r="AK141" i="3" s="1"/>
  <c r="Y141" i="3" s="1"/>
  <c r="AJ143" i="3"/>
  <c r="AK143" i="3" s="1"/>
  <c r="Y143" i="3" s="1"/>
  <c r="AJ163" i="3"/>
  <c r="AK163" i="3" s="1"/>
  <c r="Y163" i="3" s="1"/>
  <c r="AJ174" i="3"/>
  <c r="AK174" i="3" s="1"/>
  <c r="Y174" i="3" s="1"/>
  <c r="AJ176" i="3"/>
  <c r="AK176" i="3" s="1"/>
  <c r="Y176" i="3" s="1"/>
  <c r="AJ190" i="3"/>
  <c r="AK190" i="3" s="1"/>
  <c r="AJ220" i="3"/>
  <c r="AK220" i="3" s="1"/>
  <c r="AJ310" i="3"/>
  <c r="AK310" i="3" s="1"/>
  <c r="Y310" i="3" s="1"/>
  <c r="AJ343" i="3"/>
  <c r="AK343" i="3" s="1"/>
  <c r="Y343" i="3" s="1"/>
  <c r="AJ363" i="3"/>
  <c r="AK363" i="3" s="1"/>
  <c r="Y363" i="3" s="1"/>
  <c r="AJ376" i="3"/>
  <c r="AK376" i="3" s="1"/>
  <c r="Y376" i="3" s="1"/>
  <c r="AJ382" i="3"/>
  <c r="AK382" i="3" s="1"/>
  <c r="Y382" i="3" s="1"/>
  <c r="AJ394" i="3"/>
  <c r="AK394" i="3" s="1"/>
  <c r="Y394" i="3" s="1"/>
  <c r="AJ433" i="3"/>
  <c r="AK433" i="3" s="1"/>
  <c r="Y433" i="3" s="1"/>
  <c r="AJ440" i="3"/>
  <c r="AK440" i="3" s="1"/>
  <c r="Y440" i="3" s="1"/>
  <c r="AJ453" i="3"/>
  <c r="AK453" i="3" s="1"/>
  <c r="AJ465" i="3"/>
  <c r="AK465" i="3" s="1"/>
  <c r="AJ467" i="3"/>
  <c r="AK467" i="3" s="1"/>
  <c r="AJ62" i="3"/>
  <c r="AK62" i="3" s="1"/>
  <c r="Y62" i="3" s="1"/>
  <c r="AJ65" i="3"/>
  <c r="AK65" i="3" s="1"/>
  <c r="Y65" i="3" s="1"/>
  <c r="AJ94" i="3"/>
  <c r="AK94" i="3" s="1"/>
  <c r="Y94" i="3" s="1"/>
  <c r="AJ111" i="3"/>
  <c r="AK111" i="3" s="1"/>
  <c r="Y111" i="3" s="1"/>
  <c r="AJ112" i="3"/>
  <c r="AK112" i="3" s="1"/>
  <c r="Y112" i="3" s="1"/>
  <c r="AJ119" i="3"/>
  <c r="AK119" i="3" s="1"/>
  <c r="Y119" i="3" s="1"/>
  <c r="AJ121" i="3"/>
  <c r="AK121" i="3" s="1"/>
  <c r="AJ161" i="3"/>
  <c r="AK161" i="3" s="1"/>
  <c r="AJ165" i="3"/>
  <c r="AK165" i="3" s="1"/>
  <c r="AJ167" i="3"/>
  <c r="AK167" i="3" s="1"/>
  <c r="Y167" i="3" s="1"/>
  <c r="AJ179" i="3"/>
  <c r="AK179" i="3" s="1"/>
  <c r="Y179" i="3" s="1"/>
  <c r="AJ192" i="3"/>
  <c r="AK192" i="3" s="1"/>
  <c r="Y192" i="3" s="1"/>
  <c r="AJ204" i="3"/>
  <c r="AK204" i="3" s="1"/>
  <c r="Y204" i="3" s="1"/>
  <c r="AJ254" i="3"/>
  <c r="AK254" i="3" s="1"/>
  <c r="Y254" i="3" s="1"/>
  <c r="AJ265" i="3"/>
  <c r="AK265" i="3" s="1"/>
  <c r="Y265" i="3" s="1"/>
  <c r="AJ266" i="3"/>
  <c r="AK266" i="3" s="1"/>
  <c r="Y266" i="3" s="1"/>
  <c r="AJ273" i="3"/>
  <c r="AK273" i="3" s="1"/>
  <c r="AJ281" i="3"/>
  <c r="AK281" i="3" s="1"/>
  <c r="AJ297" i="3"/>
  <c r="AK297" i="3" s="1"/>
  <c r="Y297" i="3" s="1"/>
  <c r="AJ299" i="3"/>
  <c r="AK299" i="3" s="1"/>
  <c r="AJ301" i="3"/>
  <c r="AK301" i="3" s="1"/>
  <c r="Y301" i="3" s="1"/>
  <c r="AJ323" i="3"/>
  <c r="AK323" i="3" s="1"/>
  <c r="Y323" i="3" s="1"/>
  <c r="AJ324" i="3"/>
  <c r="AK324" i="3" s="1"/>
  <c r="Y324" i="3" s="1"/>
  <c r="AJ333" i="3"/>
  <c r="AK333" i="3" s="1"/>
  <c r="Y333" i="3" s="1"/>
  <c r="AJ335" i="3"/>
  <c r="AK335" i="3" s="1"/>
  <c r="Y335" i="3" s="1"/>
  <c r="AJ359" i="3"/>
  <c r="AK359" i="3" s="1"/>
  <c r="Y359" i="3" s="1"/>
  <c r="AJ360" i="3"/>
  <c r="AK360" i="3" s="1"/>
  <c r="Y360" i="3" s="1"/>
  <c r="AJ370" i="3"/>
  <c r="AK370" i="3" s="1"/>
  <c r="Y370" i="3" s="1"/>
  <c r="AJ375" i="3"/>
  <c r="AK375" i="3" s="1"/>
  <c r="Y375" i="3" s="1"/>
  <c r="AJ378" i="3"/>
  <c r="AK378" i="3" s="1"/>
  <c r="Y378" i="3" s="1"/>
  <c r="AJ386" i="3"/>
  <c r="AK386" i="3" s="1"/>
  <c r="Y386" i="3" s="1"/>
  <c r="AJ388" i="3"/>
  <c r="AK388" i="3" s="1"/>
  <c r="Y388" i="3" s="1"/>
  <c r="AJ396" i="3"/>
  <c r="AK396" i="3" s="1"/>
  <c r="Y396" i="3" s="1"/>
  <c r="AJ405" i="3"/>
  <c r="AK405" i="3" s="1"/>
  <c r="Y405" i="3" s="1"/>
  <c r="AJ412" i="3"/>
  <c r="AK412" i="3" s="1"/>
  <c r="Y412" i="3" s="1"/>
  <c r="AJ420" i="3"/>
  <c r="AK420" i="3" s="1"/>
  <c r="Y420" i="3" s="1"/>
  <c r="AJ422" i="3"/>
  <c r="AK422" i="3" s="1"/>
  <c r="Y422" i="3" s="1"/>
  <c r="AJ437" i="3"/>
  <c r="AK437" i="3" s="1"/>
  <c r="AJ450" i="3"/>
  <c r="AK450" i="3" s="1"/>
  <c r="AJ451" i="3"/>
  <c r="AK451" i="3" s="1"/>
  <c r="Y451" i="3" s="1"/>
  <c r="AJ463" i="3"/>
  <c r="AK463" i="3" s="1"/>
  <c r="AJ39" i="3"/>
  <c r="AK39" i="3" s="1"/>
  <c r="Y39" i="3" s="1"/>
  <c r="S467" i="3"/>
  <c r="S453" i="3"/>
  <c r="V465" i="3"/>
  <c r="W440" i="3"/>
  <c r="S433" i="3"/>
  <c r="T433" i="3"/>
  <c r="V433" i="3"/>
  <c r="W394" i="3"/>
  <c r="W376" i="3"/>
  <c r="T382" i="3"/>
  <c r="U363" i="3"/>
  <c r="V363" i="3"/>
  <c r="W363" i="3"/>
  <c r="W343" i="3"/>
  <c r="S310" i="3"/>
  <c r="S220" i="3"/>
  <c r="S190" i="3"/>
  <c r="S174" i="3"/>
  <c r="S176" i="3"/>
  <c r="S163" i="3"/>
  <c r="T163" i="3"/>
  <c r="T141" i="3"/>
  <c r="T143" i="3"/>
  <c r="S131" i="3"/>
  <c r="S127" i="3"/>
  <c r="T127" i="3"/>
  <c r="W127" i="3"/>
  <c r="S98" i="3"/>
  <c r="S105" i="3"/>
  <c r="T105" i="3"/>
  <c r="V104" i="3"/>
  <c r="S86" i="3"/>
  <c r="T86" i="3"/>
  <c r="V86" i="3"/>
  <c r="S60" i="3"/>
  <c r="W56" i="3"/>
  <c r="W48" i="3"/>
  <c r="AJ77" i="3"/>
  <c r="AK77" i="3" s="1"/>
  <c r="Y77" i="3" s="1"/>
  <c r="AJ89" i="3"/>
  <c r="AK89" i="3" s="1"/>
  <c r="Y89" i="3" s="1"/>
  <c r="AJ385" i="3"/>
  <c r="AK385" i="3" s="1"/>
  <c r="Y385" i="3" s="1"/>
  <c r="AJ226" i="3"/>
  <c r="AK226" i="3" s="1"/>
  <c r="Y226" i="3" s="1"/>
  <c r="AJ230" i="3"/>
  <c r="AK230" i="3" s="1"/>
  <c r="Y230" i="3" s="1"/>
  <c r="AJ258" i="3"/>
  <c r="AK258" i="3" s="1"/>
  <c r="Y258" i="3" s="1"/>
  <c r="AJ272" i="3"/>
  <c r="AK272" i="3" s="1"/>
  <c r="Y272" i="3" s="1"/>
  <c r="AJ432" i="3"/>
  <c r="AK432" i="3" s="1"/>
  <c r="Y432" i="3" s="1"/>
  <c r="AJ366" i="3"/>
  <c r="AK366" i="3" s="1"/>
  <c r="Y366" i="3" s="1"/>
  <c r="AJ118" i="3"/>
  <c r="AK118" i="3" s="1"/>
  <c r="Y118" i="3" s="1"/>
  <c r="AJ100" i="3"/>
  <c r="AK100" i="3" s="1"/>
  <c r="Y100" i="3" s="1"/>
  <c r="AJ330" i="3"/>
  <c r="AK330" i="3" s="1"/>
  <c r="Y330" i="3" s="1"/>
  <c r="AA330" i="3" s="1"/>
  <c r="AJ290" i="3"/>
  <c r="AK290" i="3" s="1"/>
  <c r="AJ390" i="3"/>
  <c r="AK390" i="3" s="1"/>
  <c r="Y390" i="3" s="1"/>
  <c r="AJ37" i="3"/>
  <c r="AK37" i="3" s="1"/>
  <c r="Y37" i="3" s="1"/>
  <c r="X432" i="3"/>
  <c r="W432" i="3"/>
  <c r="X366" i="3"/>
  <c r="X272" i="3"/>
  <c r="V272" i="3"/>
  <c r="U272" i="3"/>
  <c r="X258" i="3"/>
  <c r="X230" i="3"/>
  <c r="X226" i="3"/>
  <c r="V226" i="3"/>
  <c r="U226" i="3"/>
  <c r="Z118" i="3"/>
  <c r="X118" i="3"/>
  <c r="X100" i="3"/>
  <c r="W100" i="3"/>
  <c r="AO460" i="3"/>
  <c r="AU460" i="3" s="1"/>
  <c r="AV460" i="3" s="1"/>
  <c r="AH460" i="3" s="1"/>
  <c r="AJ460" i="3" s="1"/>
  <c r="AK460" i="3" s="1"/>
  <c r="Y460" i="3" s="1"/>
  <c r="AA460" i="3" s="1"/>
  <c r="AR455" i="3"/>
  <c r="AQ455" i="3"/>
  <c r="AS438" i="3"/>
  <c r="AR438" i="3"/>
  <c r="AP438" i="3"/>
  <c r="AO438" i="3"/>
  <c r="AG438" i="3"/>
  <c r="AF438" i="3"/>
  <c r="X438" i="3"/>
  <c r="AP429" i="3"/>
  <c r="AO429" i="3"/>
  <c r="AF429" i="3"/>
  <c r="AU407" i="3"/>
  <c r="AV407" i="3" s="1"/>
  <c r="AG407" i="3"/>
  <c r="AE407" i="3"/>
  <c r="W407" i="3"/>
  <c r="AU385" i="3"/>
  <c r="AV385" i="3" s="1"/>
  <c r="X385" i="3"/>
  <c r="W385" i="3"/>
  <c r="V385" i="3"/>
  <c r="T385" i="3"/>
  <c r="AU374" i="3"/>
  <c r="AV374" i="3" s="1"/>
  <c r="AE374" i="3"/>
  <c r="AJ374" i="3" s="1"/>
  <c r="AK374" i="3" s="1"/>
  <c r="Y374" i="3" s="1"/>
  <c r="X374" i="3"/>
  <c r="W374" i="3"/>
  <c r="U374" i="3"/>
  <c r="AR362" i="3"/>
  <c r="AU362" i="3" s="1"/>
  <c r="AV362" i="3" s="1"/>
  <c r="AH362" i="3" s="1"/>
  <c r="AG362" i="3"/>
  <c r="AF362" i="3"/>
  <c r="AE362" i="3"/>
  <c r="W362" i="3"/>
  <c r="V362" i="3"/>
  <c r="AU353" i="3"/>
  <c r="AV353" i="3" s="1"/>
  <c r="AH353" i="3" s="1"/>
  <c r="AJ353" i="3" s="1"/>
  <c r="AK353" i="3" s="1"/>
  <c r="AF207" i="1"/>
  <c r="AG207" i="1"/>
  <c r="AP207" i="1"/>
  <c r="AQ207" i="1"/>
  <c r="AR207" i="1"/>
  <c r="AR339" i="3"/>
  <c r="AU339" i="3" s="1"/>
  <c r="AV339" i="3" s="1"/>
  <c r="AH339" i="3" s="1"/>
  <c r="AG339" i="3"/>
  <c r="AE339" i="3"/>
  <c r="W339" i="3"/>
  <c r="AU330" i="3"/>
  <c r="AV330" i="3" s="1"/>
  <c r="AO328" i="3"/>
  <c r="AU328" i="3" s="1"/>
  <c r="AV328" i="3" s="1"/>
  <c r="AH328" i="3" s="1"/>
  <c r="AJ328" i="3" s="1"/>
  <c r="AK328" i="3" s="1"/>
  <c r="Y328" i="3" s="1"/>
  <c r="AA328" i="3" s="1"/>
  <c r="AU317" i="3"/>
  <c r="AV317" i="3" s="1"/>
  <c r="AG317" i="3"/>
  <c r="AJ317" i="3" s="1"/>
  <c r="AK317" i="3" s="1"/>
  <c r="Y317" i="3" s="1"/>
  <c r="AA317" i="3" s="1"/>
  <c r="AP312" i="3"/>
  <c r="AN312" i="3"/>
  <c r="AU309" i="3"/>
  <c r="AV309" i="3" s="1"/>
  <c r="AG309" i="3"/>
  <c r="AE309" i="3"/>
  <c r="X309" i="3"/>
  <c r="W309" i="3"/>
  <c r="AU300" i="3"/>
  <c r="AV300" i="3" s="1"/>
  <c r="AF300" i="3"/>
  <c r="AE300" i="3"/>
  <c r="AU290" i="3"/>
  <c r="AV290" i="3" s="1"/>
  <c r="AO269" i="3"/>
  <c r="AU269" i="3" s="1"/>
  <c r="AV269" i="3" s="1"/>
  <c r="AH269" i="3" s="1"/>
  <c r="AF269" i="3"/>
  <c r="AU247" i="3"/>
  <c r="AV247" i="3" s="1"/>
  <c r="AH247" i="3" s="1"/>
  <c r="AJ247" i="3" s="1"/>
  <c r="AK247" i="3" s="1"/>
  <c r="Y247" i="3" s="1"/>
  <c r="AA247" i="3" s="1"/>
  <c r="AQ242" i="3"/>
  <c r="AU242" i="3" s="1"/>
  <c r="AV242" i="3" s="1"/>
  <c r="AH242" i="3" s="1"/>
  <c r="AJ242" i="3" s="1"/>
  <c r="AK242" i="3" s="1"/>
  <c r="Y242" i="3" s="1"/>
  <c r="W242" i="3"/>
  <c r="V242" i="3"/>
  <c r="T242" i="3"/>
  <c r="S242" i="3"/>
  <c r="AR236" i="3"/>
  <c r="AP236" i="3"/>
  <c r="AG236" i="3"/>
  <c r="AF236" i="3"/>
  <c r="AE236" i="3"/>
  <c r="AE235" i="3"/>
  <c r="AF235" i="3"/>
  <c r="AG235" i="3"/>
  <c r="AQ235" i="3"/>
  <c r="AR235" i="3"/>
  <c r="AU207" i="3"/>
  <c r="AV207" i="3" s="1"/>
  <c r="AG207" i="3"/>
  <c r="AE207" i="3"/>
  <c r="X207" i="3"/>
  <c r="W207" i="3"/>
  <c r="AU206" i="3"/>
  <c r="AV206" i="3" s="1"/>
  <c r="AE206" i="3"/>
  <c r="AJ206" i="3" s="1"/>
  <c r="AK206" i="3" s="1"/>
  <c r="AU201" i="3"/>
  <c r="AV201" i="3" s="1"/>
  <c r="AE201" i="3"/>
  <c r="AJ201" i="3" s="1"/>
  <c r="AK201" i="3" s="1"/>
  <c r="Y201" i="3" s="1"/>
  <c r="X201" i="3"/>
  <c r="U201" i="3"/>
  <c r="AO196" i="3"/>
  <c r="AU196" i="3" s="1"/>
  <c r="AV196" i="3" s="1"/>
  <c r="AH196" i="3" s="1"/>
  <c r="AJ196" i="3" s="1"/>
  <c r="AK196" i="3" s="1"/>
  <c r="Y196" i="3" s="1"/>
  <c r="AA196" i="3" s="1"/>
  <c r="AP185" i="3"/>
  <c r="AU185" i="3" s="1"/>
  <c r="AV185" i="3" s="1"/>
  <c r="AH185" i="3" s="1"/>
  <c r="AJ185" i="3" s="1"/>
  <c r="AK185" i="3" s="1"/>
  <c r="Y185" i="3" s="1"/>
  <c r="AA185" i="3" s="1"/>
  <c r="AM181" i="3"/>
  <c r="AU181" i="3" s="1"/>
  <c r="AV181" i="3" s="1"/>
  <c r="AH181" i="3" s="1"/>
  <c r="AJ181" i="3" s="1"/>
  <c r="AK181" i="3" s="1"/>
  <c r="Y181" i="3" s="1"/>
  <c r="AA181" i="3" s="1"/>
  <c r="AU164" i="3"/>
  <c r="AV164" i="3" s="1"/>
  <c r="AH164" i="3" s="1"/>
  <c r="AJ164" i="3" s="1"/>
  <c r="AK164" i="3" s="1"/>
  <c r="Y164" i="3" s="1"/>
  <c r="AA164" i="3" s="1"/>
  <c r="AQ154" i="3"/>
  <c r="AP154" i="3"/>
  <c r="AO154" i="3"/>
  <c r="AF154" i="3"/>
  <c r="AE154" i="3"/>
  <c r="V154" i="3"/>
  <c r="AQ152" i="3"/>
  <c r="AU152" i="3" s="1"/>
  <c r="AV152" i="3" s="1"/>
  <c r="AH152" i="3" s="1"/>
  <c r="AG152" i="3"/>
  <c r="AE152" i="3"/>
  <c r="X152" i="3"/>
  <c r="W152" i="3"/>
  <c r="V152" i="3"/>
  <c r="U152" i="3"/>
  <c r="T152" i="3"/>
  <c r="S152" i="3"/>
  <c r="AO145" i="3"/>
  <c r="AU145" i="3" s="1"/>
  <c r="AV145" i="3" s="1"/>
  <c r="AH145" i="3" s="1"/>
  <c r="AE145" i="3"/>
  <c r="AU120" i="3"/>
  <c r="AV120" i="3" s="1"/>
  <c r="AE120" i="3"/>
  <c r="AJ120" i="3" s="1"/>
  <c r="AK120" i="3" s="1"/>
  <c r="Y120" i="3" s="1"/>
  <c r="X120" i="3"/>
  <c r="W120" i="3"/>
  <c r="V120" i="3"/>
  <c r="AP109" i="3"/>
  <c r="AU109" i="3" s="1"/>
  <c r="AV109" i="3" s="1"/>
  <c r="AH109" i="3" s="1"/>
  <c r="AJ109" i="3" s="1"/>
  <c r="AK109" i="3" s="1"/>
  <c r="AR102" i="3"/>
  <c r="AP102" i="3"/>
  <c r="AG102" i="3"/>
  <c r="AF102" i="3"/>
  <c r="AP93" i="3"/>
  <c r="AN93" i="3"/>
  <c r="AU89" i="3"/>
  <c r="AV89" i="3" s="1"/>
  <c r="X89" i="3"/>
  <c r="W89" i="3"/>
  <c r="V89" i="3"/>
  <c r="U89" i="3"/>
  <c r="T89" i="3"/>
  <c r="S89" i="3"/>
  <c r="AQ79" i="3"/>
  <c r="AP79" i="3"/>
  <c r="AG79" i="3"/>
  <c r="AU77" i="3"/>
  <c r="AV77" i="3" s="1"/>
  <c r="X77" i="3"/>
  <c r="W77" i="3"/>
  <c r="V77" i="3"/>
  <c r="U77" i="3"/>
  <c r="T77" i="3"/>
  <c r="S77" i="3"/>
  <c r="AR75" i="3"/>
  <c r="AQ75" i="3"/>
  <c r="AG75" i="3"/>
  <c r="AF75" i="3"/>
  <c r="AE75" i="3"/>
  <c r="X75" i="3"/>
  <c r="W75" i="3"/>
  <c r="V75" i="3"/>
  <c r="S75" i="3"/>
  <c r="AO74" i="3"/>
  <c r="AU74" i="3" s="1"/>
  <c r="AV74" i="3" s="1"/>
  <c r="AH74" i="3" s="1"/>
  <c r="AJ74" i="3" s="1"/>
  <c r="AK74" i="3" s="1"/>
  <c r="AR67" i="3"/>
  <c r="AP67" i="3"/>
  <c r="AO67" i="3"/>
  <c r="AG67" i="3"/>
  <c r="AF67" i="3"/>
  <c r="AR44" i="3"/>
  <c r="AQ44" i="3"/>
  <c r="AI44" i="3"/>
  <c r="AF44" i="3"/>
  <c r="Z44" i="3"/>
  <c r="X44" i="3"/>
  <c r="W44" i="3"/>
  <c r="V44" i="3"/>
  <c r="U44" i="3"/>
  <c r="AQ43" i="3"/>
  <c r="AU43" i="3" s="1"/>
  <c r="AV43" i="3" s="1"/>
  <c r="AH43" i="3" s="1"/>
  <c r="AJ43" i="3" s="1"/>
  <c r="AK43" i="3" s="1"/>
  <c r="Y43" i="3" s="1"/>
  <c r="W43" i="3"/>
  <c r="V43" i="3"/>
  <c r="T43" i="3"/>
  <c r="S43" i="3"/>
  <c r="AJ36" i="3"/>
  <c r="AK36" i="3" s="1"/>
  <c r="Y36" i="3" s="1"/>
  <c r="AA36" i="3" s="1"/>
  <c r="AU38" i="3"/>
  <c r="AV38" i="3" s="1"/>
  <c r="AG38" i="3"/>
  <c r="AJ38" i="3" s="1"/>
  <c r="AK38" i="3" s="1"/>
  <c r="Y38" i="3" s="1"/>
  <c r="AA38" i="3" s="1"/>
  <c r="AS34" i="3"/>
  <c r="AR34" i="3"/>
  <c r="AP34" i="3"/>
  <c r="AN34" i="3"/>
  <c r="AG34" i="3"/>
  <c r="AF34" i="3"/>
  <c r="Z34" i="3"/>
  <c r="X34" i="3"/>
  <c r="W34" i="3"/>
  <c r="V34" i="3"/>
  <c r="U34" i="3"/>
  <c r="T34" i="3"/>
  <c r="S34" i="3"/>
  <c r="AR32" i="3"/>
  <c r="AP32" i="3"/>
  <c r="AG32" i="3"/>
  <c r="AF32" i="3"/>
  <c r="AE32" i="3"/>
  <c r="X32" i="3"/>
  <c r="W32" i="3"/>
  <c r="V32" i="3"/>
  <c r="U32" i="3"/>
  <c r="T32" i="3"/>
  <c r="S32" i="3"/>
  <c r="AU390" i="3"/>
  <c r="AV390" i="3" s="1"/>
  <c r="X390" i="3"/>
  <c r="W390" i="3"/>
  <c r="V390" i="3"/>
  <c r="U390" i="3"/>
  <c r="T390" i="3"/>
  <c r="S390" i="3"/>
  <c r="AS28" i="3"/>
  <c r="AR28" i="3"/>
  <c r="AQ28" i="3"/>
  <c r="AP28" i="3"/>
  <c r="AO28" i="3"/>
  <c r="AG28" i="3"/>
  <c r="AF28" i="3"/>
  <c r="X28" i="3"/>
  <c r="W28" i="3"/>
  <c r="V28" i="3"/>
  <c r="U28" i="3"/>
  <c r="T28" i="3"/>
  <c r="S28" i="3"/>
  <c r="U372" i="3"/>
  <c r="V372" i="3"/>
  <c r="W372" i="3"/>
  <c r="Z372" i="3"/>
  <c r="AE372" i="3"/>
  <c r="AF372" i="3"/>
  <c r="AG372" i="3"/>
  <c r="AP372" i="3"/>
  <c r="AQ372" i="3"/>
  <c r="AR372" i="3"/>
  <c r="T19" i="3"/>
  <c r="AE19" i="3"/>
  <c r="AF19" i="3"/>
  <c r="AS19" i="3"/>
  <c r="AU19" i="3" s="1"/>
  <c r="AV19" i="3" s="1"/>
  <c r="AH19" i="3" s="1"/>
  <c r="S17" i="3"/>
  <c r="T17" i="3"/>
  <c r="U17" i="3"/>
  <c r="V17" i="3"/>
  <c r="X17" i="3"/>
  <c r="AE17" i="3"/>
  <c r="AF17" i="3"/>
  <c r="AG17" i="3"/>
  <c r="AP17" i="3"/>
  <c r="AQ17" i="3"/>
  <c r="AR17" i="3"/>
  <c r="AS17" i="3"/>
  <c r="T15" i="3"/>
  <c r="W15" i="3"/>
  <c r="X15" i="3"/>
  <c r="AE15" i="3"/>
  <c r="AF15" i="3"/>
  <c r="AU15" i="3"/>
  <c r="AV15" i="3" s="1"/>
  <c r="T91" i="3"/>
  <c r="U91" i="3"/>
  <c r="V91" i="3"/>
  <c r="W91" i="3"/>
  <c r="X91" i="3"/>
  <c r="AE91" i="3"/>
  <c r="AF91" i="3"/>
  <c r="AG91" i="3"/>
  <c r="AP91" i="3"/>
  <c r="AQ91" i="3"/>
  <c r="AR91" i="3"/>
  <c r="AS91" i="3"/>
  <c r="S7" i="3"/>
  <c r="T7" i="3"/>
  <c r="U7" i="3"/>
  <c r="V7" i="3"/>
  <c r="W7" i="3"/>
  <c r="AE7" i="3"/>
  <c r="AF7" i="3"/>
  <c r="AG7" i="3"/>
  <c r="AO7" i="3"/>
  <c r="AP7" i="3"/>
  <c r="AQ7" i="3"/>
  <c r="AR7" i="3"/>
  <c r="AS7" i="3"/>
  <c r="AJ54" i="3"/>
  <c r="AJ73" i="3"/>
  <c r="AJ96" i="3"/>
  <c r="AJ103" i="3"/>
  <c r="AJ137" i="3"/>
  <c r="AJ150" i="3"/>
  <c r="AJ155" i="3"/>
  <c r="AJ210" i="3"/>
  <c r="AJ251" i="3"/>
  <c r="AJ296" i="3"/>
  <c r="AJ311" i="3"/>
  <c r="AJ316" i="3"/>
  <c r="AJ367" i="3"/>
  <c r="AJ373" i="3"/>
  <c r="AJ448" i="3"/>
  <c r="AE68" i="3"/>
  <c r="AF68" i="3"/>
  <c r="AG68" i="3"/>
  <c r="AQ68" i="3"/>
  <c r="AR68" i="3"/>
  <c r="AS68" i="3"/>
  <c r="S46" i="4"/>
  <c r="S42" i="4"/>
  <c r="S43" i="4"/>
  <c r="AP43" i="4"/>
  <c r="AR43" i="4"/>
  <c r="AE22" i="4"/>
  <c r="AF22" i="4"/>
  <c r="AG22" i="4"/>
  <c r="AP22" i="4"/>
  <c r="AU22" i="4" s="1"/>
  <c r="AV22" i="4" s="1"/>
  <c r="AH22" i="4" s="1"/>
  <c r="AO23" i="4"/>
  <c r="AP23" i="4"/>
  <c r="AS16" i="4"/>
  <c r="AU16" i="4" s="1"/>
  <c r="AV16" i="4" s="1"/>
  <c r="AH16" i="4" s="1"/>
  <c r="AJ16" i="4" s="1"/>
  <c r="AK16" i="4" s="1"/>
  <c r="Y16" i="4" s="1"/>
  <c r="AA16" i="4" s="1"/>
  <c r="T6" i="4"/>
  <c r="U6" i="4"/>
  <c r="V6" i="4"/>
  <c r="W6" i="4"/>
  <c r="X6" i="4"/>
  <c r="AD6" i="4"/>
  <c r="AE6" i="4"/>
  <c r="AF6" i="4"/>
  <c r="AG6" i="4"/>
  <c r="AO6" i="4"/>
  <c r="AP6" i="4"/>
  <c r="AQ6" i="4"/>
  <c r="AR6" i="4"/>
  <c r="AS6" i="4"/>
  <c r="AA7" i="2"/>
  <c r="AB7" i="2" s="1"/>
  <c r="V208" i="6"/>
  <c r="V189" i="6"/>
  <c r="T60" i="6"/>
  <c r="W41" i="6"/>
  <c r="AP300" i="6"/>
  <c r="AU300" i="6" s="1"/>
  <c r="AV300" i="6" s="1"/>
  <c r="AH300" i="6" s="1"/>
  <c r="AJ300" i="6" s="1"/>
  <c r="AK300" i="6" s="1"/>
  <c r="Y300" i="6" s="1"/>
  <c r="AA300" i="6" s="1"/>
  <c r="AB300" i="6" s="1"/>
  <c r="AP298" i="6"/>
  <c r="AU298" i="6" s="1"/>
  <c r="AV298" i="6" s="1"/>
  <c r="AH298" i="6" s="1"/>
  <c r="AJ298" i="6" s="1"/>
  <c r="AK298" i="6" s="1"/>
  <c r="Y298" i="6" s="1"/>
  <c r="AA298" i="6" s="1"/>
  <c r="AB298" i="6" s="1"/>
  <c r="AT295" i="6"/>
  <c r="AR295" i="6"/>
  <c r="AP295" i="6"/>
  <c r="AI295" i="6"/>
  <c r="AG295" i="6"/>
  <c r="AF295" i="6"/>
  <c r="Z295" i="6"/>
  <c r="W295" i="6"/>
  <c r="V295" i="6"/>
  <c r="AD292" i="6"/>
  <c r="AJ292" i="6" s="1"/>
  <c r="AK292" i="6" s="1"/>
  <c r="Y292" i="6" s="1"/>
  <c r="X292" i="6"/>
  <c r="AU281" i="6"/>
  <c r="AV281" i="6" s="1"/>
  <c r="AH281" i="6" s="1"/>
  <c r="AG281" i="6"/>
  <c r="AU277" i="6"/>
  <c r="AV277" i="6" s="1"/>
  <c r="AH277" i="6" s="1"/>
  <c r="AJ277" i="6" s="1"/>
  <c r="AK277" i="6" s="1"/>
  <c r="Y277" i="6" s="1"/>
  <c r="AA277" i="6" s="1"/>
  <c r="AB277" i="6" s="1"/>
  <c r="AS276" i="6"/>
  <c r="AR276" i="6"/>
  <c r="AR268" i="6"/>
  <c r="AQ268" i="6"/>
  <c r="AP268" i="6"/>
  <c r="AG268" i="6"/>
  <c r="AF268" i="6"/>
  <c r="AE268" i="6"/>
  <c r="AN258" i="6"/>
  <c r="AU258" i="6" s="1"/>
  <c r="AV258" i="6" s="1"/>
  <c r="AH258" i="6" s="1"/>
  <c r="AJ258" i="6" s="1"/>
  <c r="AK258" i="6" s="1"/>
  <c r="Y258" i="6" s="1"/>
  <c r="AA258" i="6" s="1"/>
  <c r="AB258" i="6" s="1"/>
  <c r="AT253" i="6"/>
  <c r="AS253" i="6"/>
  <c r="AU253" i="6" s="1"/>
  <c r="W253" i="6"/>
  <c r="AR251" i="6"/>
  <c r="AQ251" i="6"/>
  <c r="AO251" i="6"/>
  <c r="AI251" i="6"/>
  <c r="AG251" i="6"/>
  <c r="AF251" i="6"/>
  <c r="AE251" i="6"/>
  <c r="AD251" i="6"/>
  <c r="Z251" i="6"/>
  <c r="W251" i="6"/>
  <c r="V251" i="6"/>
  <c r="X249" i="6"/>
  <c r="AM242" i="6"/>
  <c r="AU242" i="6" s="1"/>
  <c r="AV242" i="6" s="1"/>
  <c r="AH242" i="6" s="1"/>
  <c r="AF242" i="6"/>
  <c r="AP234" i="6"/>
  <c r="AU234" i="6" s="1"/>
  <c r="AV234" i="6" s="1"/>
  <c r="AH234" i="6" s="1"/>
  <c r="AJ234" i="6" s="1"/>
  <c r="AK234" i="6" s="1"/>
  <c r="Y234" i="6" s="1"/>
  <c r="AA234" i="6" s="1"/>
  <c r="AB234" i="6" s="1"/>
  <c r="X233" i="6"/>
  <c r="AK313" i="6"/>
  <c r="Y313" i="6" s="1"/>
  <c r="AA313" i="6" s="1"/>
  <c r="AB313" i="6" s="1"/>
  <c r="N313" i="6" s="1"/>
  <c r="P313" i="6" s="1"/>
  <c r="Q313" i="6" s="1"/>
  <c r="W218" i="6"/>
  <c r="X218" i="6"/>
  <c r="Z218" i="6"/>
  <c r="AP218" i="6"/>
  <c r="AU218" i="6" s="1"/>
  <c r="AV218" i="6" s="1"/>
  <c r="AH218" i="6" s="1"/>
  <c r="AJ218" i="6" s="1"/>
  <c r="AK218" i="6" s="1"/>
  <c r="Y218" i="6" s="1"/>
  <c r="X220" i="6"/>
  <c r="AF221" i="6"/>
  <c r="AJ221" i="6" s="1"/>
  <c r="AK221" i="6" s="1"/>
  <c r="Y221" i="6" s="1"/>
  <c r="AA221" i="6" s="1"/>
  <c r="AB221" i="6" s="1"/>
  <c r="AU215" i="6"/>
  <c r="AV215" i="6" s="1"/>
  <c r="AH215" i="6" s="1"/>
  <c r="AJ215" i="6" s="1"/>
  <c r="AK215" i="6" s="1"/>
  <c r="Y215" i="6" s="1"/>
  <c r="AA215" i="6" s="1"/>
  <c r="AB215" i="6" s="1"/>
  <c r="AN206" i="6"/>
  <c r="AU206" i="6" s="1"/>
  <c r="AV206" i="6" s="1"/>
  <c r="AH206" i="6" s="1"/>
  <c r="AJ206" i="6" s="1"/>
  <c r="AK206" i="6" s="1"/>
  <c r="Y206" i="6" s="1"/>
  <c r="AA206" i="6" s="1"/>
  <c r="AB206" i="6" s="1"/>
  <c r="W202" i="6"/>
  <c r="AN202" i="6"/>
  <c r="AP202" i="6"/>
  <c r="X188" i="6"/>
  <c r="X181" i="6"/>
  <c r="AP174" i="6"/>
  <c r="AU174" i="6" s="1"/>
  <c r="AV174" i="6" s="1"/>
  <c r="AH174" i="6" s="1"/>
  <c r="AJ174" i="6" s="1"/>
  <c r="AK174" i="6" s="1"/>
  <c r="Y174" i="6" s="1"/>
  <c r="AA174" i="6" s="1"/>
  <c r="AB174" i="6" s="1"/>
  <c r="W159" i="6"/>
  <c r="X159" i="6"/>
  <c r="Z159" i="6"/>
  <c r="AE159" i="6"/>
  <c r="AF159" i="6"/>
  <c r="AG159" i="6"/>
  <c r="AU159" i="6"/>
  <c r="AV159" i="6" s="1"/>
  <c r="AH159" i="6" s="1"/>
  <c r="X153" i="6"/>
  <c r="AD153" i="6"/>
  <c r="AJ153" i="6" s="1"/>
  <c r="AK153" i="6" s="1"/>
  <c r="Y153" i="6" s="1"/>
  <c r="W154" i="6"/>
  <c r="X154" i="6"/>
  <c r="AE154" i="6"/>
  <c r="AJ154" i="6" s="1"/>
  <c r="AK154" i="6" s="1"/>
  <c r="Y154" i="6" s="1"/>
  <c r="AE137" i="6"/>
  <c r="AR137" i="6"/>
  <c r="AS137" i="6"/>
  <c r="AF138" i="6"/>
  <c r="AR138" i="6"/>
  <c r="AU138" i="6" s="1"/>
  <c r="AV138" i="6" s="1"/>
  <c r="AH138" i="6" s="1"/>
  <c r="V141" i="6"/>
  <c r="W141" i="6"/>
  <c r="X141" i="6"/>
  <c r="AD141" i="6"/>
  <c r="AJ141" i="6" s="1"/>
  <c r="AK141" i="6" s="1"/>
  <c r="Y141" i="6" s="1"/>
  <c r="V134" i="6"/>
  <c r="W134" i="6"/>
  <c r="X134" i="6"/>
  <c r="AD134" i="6"/>
  <c r="AJ134" i="6" s="1"/>
  <c r="AK134" i="6" s="1"/>
  <c r="Y134" i="6" s="1"/>
  <c r="AN130" i="6"/>
  <c r="AU130" i="6" s="1"/>
  <c r="AV130" i="6" s="1"/>
  <c r="AH130" i="6" s="1"/>
  <c r="AJ130" i="6" s="1"/>
  <c r="AK130" i="6" s="1"/>
  <c r="Y130" i="6" s="1"/>
  <c r="AA130" i="6" s="1"/>
  <c r="AB130" i="6" s="1"/>
  <c r="X127" i="6"/>
  <c r="AD127" i="6"/>
  <c r="AE127" i="6"/>
  <c r="AE120" i="6"/>
  <c r="AF120" i="6"/>
  <c r="AG120" i="6"/>
  <c r="AR120" i="6"/>
  <c r="AU120" i="6" s="1"/>
  <c r="AV120" i="6" s="1"/>
  <c r="AH120" i="6" s="1"/>
  <c r="AR117" i="6"/>
  <c r="AU117" i="6" s="1"/>
  <c r="AV117" i="6" s="1"/>
  <c r="AH117" i="6" s="1"/>
  <c r="AJ117" i="6" s="1"/>
  <c r="AK117" i="6" s="1"/>
  <c r="Y117" i="6" s="1"/>
  <c r="AA117" i="6" s="1"/>
  <c r="AB117" i="6" s="1"/>
  <c r="AP119" i="6"/>
  <c r="AU119" i="6" s="1"/>
  <c r="AV119" i="6" s="1"/>
  <c r="AH119" i="6" s="1"/>
  <c r="AJ119" i="6" s="1"/>
  <c r="AK119" i="6" s="1"/>
  <c r="Y119" i="6" s="1"/>
  <c r="AA119" i="6" s="1"/>
  <c r="AB119" i="6" s="1"/>
  <c r="AS110" i="6"/>
  <c r="AU110" i="6" s="1"/>
  <c r="AV110" i="6" s="1"/>
  <c r="AH110" i="6" s="1"/>
  <c r="AJ110" i="6" s="1"/>
  <c r="AK110" i="6" s="1"/>
  <c r="Y110" i="6" s="1"/>
  <c r="AA110" i="6" s="1"/>
  <c r="AB110" i="6" s="1"/>
  <c r="AE111" i="6"/>
  <c r="AG111" i="6"/>
  <c r="AR111" i="6"/>
  <c r="AU111" i="6" s="1"/>
  <c r="AV111" i="6" s="1"/>
  <c r="AH111" i="6" s="1"/>
  <c r="AD113" i="6"/>
  <c r="AE113" i="6"/>
  <c r="AF113" i="6"/>
  <c r="AG113" i="6"/>
  <c r="AM113" i="6"/>
  <c r="AO113" i="6"/>
  <c r="AP113" i="6"/>
  <c r="AQ113" i="6"/>
  <c r="AR113" i="6"/>
  <c r="U114" i="6"/>
  <c r="V114" i="6"/>
  <c r="W114" i="6"/>
  <c r="X114" i="6"/>
  <c r="AH114" i="6"/>
  <c r="AJ114" i="6" s="1"/>
  <c r="AK114" i="6" s="1"/>
  <c r="Y114" i="6" s="1"/>
  <c r="AE107" i="6"/>
  <c r="AF107" i="6"/>
  <c r="AN107" i="6"/>
  <c r="AP107" i="6"/>
  <c r="AQ107" i="6"/>
  <c r="AF102" i="6"/>
  <c r="AJ102" i="6" s="1"/>
  <c r="AK102" i="6" s="1"/>
  <c r="Y102" i="6" s="1"/>
  <c r="AA102" i="6" s="1"/>
  <c r="AB102" i="6" s="1"/>
  <c r="AO93" i="6"/>
  <c r="AP93" i="6"/>
  <c r="AN88" i="6"/>
  <c r="AU88" i="6" s="1"/>
  <c r="AV88" i="6" s="1"/>
  <c r="AH88" i="6" s="1"/>
  <c r="AJ88" i="6" s="1"/>
  <c r="AK88" i="6" s="1"/>
  <c r="Y88" i="6" s="1"/>
  <c r="AA88" i="6" s="1"/>
  <c r="AB88" i="6" s="1"/>
  <c r="AD84" i="6"/>
  <c r="AJ84" i="6" s="1"/>
  <c r="AK84" i="6" s="1"/>
  <c r="Y84" i="6" s="1"/>
  <c r="AA84" i="6" s="1"/>
  <c r="AB84" i="6" s="1"/>
  <c r="W80" i="6"/>
  <c r="X80" i="6"/>
  <c r="Z80" i="6"/>
  <c r="AF80" i="6"/>
  <c r="AJ80" i="6" s="1"/>
  <c r="AK80" i="6" s="1"/>
  <c r="Y80" i="6" s="1"/>
  <c r="AF77" i="6"/>
  <c r="AH77" i="6"/>
  <c r="AN70" i="6"/>
  <c r="AU70" i="6" s="1"/>
  <c r="AV70" i="6" s="1"/>
  <c r="AH70" i="6" s="1"/>
  <c r="AJ70" i="6" s="1"/>
  <c r="AK70" i="6" s="1"/>
  <c r="Y70" i="6" s="1"/>
  <c r="AA70" i="6" s="1"/>
  <c r="AB70" i="6" s="1"/>
  <c r="AR63" i="6"/>
  <c r="AS63" i="6"/>
  <c r="AT63" i="6"/>
  <c r="AO55" i="6"/>
  <c r="AS55" i="6"/>
  <c r="AO56" i="6"/>
  <c r="AU56" i="6" s="1"/>
  <c r="AV56" i="6" s="1"/>
  <c r="AH56" i="6" s="1"/>
  <c r="AJ56" i="6" s="1"/>
  <c r="AK56" i="6" s="1"/>
  <c r="Y56" i="6" s="1"/>
  <c r="AA56" i="6" s="1"/>
  <c r="AB56" i="6" s="1"/>
  <c r="AR51" i="6"/>
  <c r="AS51" i="6"/>
  <c r="AT51" i="6"/>
  <c r="AE47" i="6"/>
  <c r="AF47" i="6"/>
  <c r="AG47" i="6"/>
  <c r="AO47" i="6"/>
  <c r="AR47" i="6"/>
  <c r="AH33" i="6"/>
  <c r="AJ33" i="6" s="1"/>
  <c r="AK33" i="6" s="1"/>
  <c r="Y33" i="6" s="1"/>
  <c r="AA33" i="6" s="1"/>
  <c r="AB33" i="6" s="1"/>
  <c r="V34" i="6"/>
  <c r="W34" i="6"/>
  <c r="X34" i="6"/>
  <c r="Z34" i="6"/>
  <c r="AR30" i="6"/>
  <c r="AU30" i="6" s="1"/>
  <c r="AT30" i="6"/>
  <c r="W26" i="6"/>
  <c r="X26" i="6"/>
  <c r="AF26" i="6"/>
  <c r="AJ26" i="6" s="1"/>
  <c r="AK26" i="6" s="1"/>
  <c r="Y26" i="6" s="1"/>
  <c r="AR27" i="6"/>
  <c r="AU27" i="6" s="1"/>
  <c r="AT27" i="6"/>
  <c r="T219" i="6"/>
  <c r="W219" i="6"/>
  <c r="X219" i="6"/>
  <c r="Z219" i="6"/>
  <c r="AE219" i="6"/>
  <c r="AF219" i="6"/>
  <c r="AG219" i="6"/>
  <c r="AI219" i="6"/>
  <c r="AS219" i="6"/>
  <c r="AU219" i="6" s="1"/>
  <c r="AV219" i="6" s="1"/>
  <c r="AH219" i="6" s="1"/>
  <c r="V20" i="6"/>
  <c r="W20" i="6"/>
  <c r="AE20" i="6"/>
  <c r="AF20" i="6"/>
  <c r="AG20" i="6"/>
  <c r="AI20" i="6"/>
  <c r="AP20" i="6"/>
  <c r="AQ20" i="6"/>
  <c r="AR20" i="6"/>
  <c r="AS20" i="6"/>
  <c r="AT20" i="6"/>
  <c r="AF306" i="6"/>
  <c r="AJ306" i="6" s="1"/>
  <c r="S19" i="6"/>
  <c r="V19" i="6"/>
  <c r="W19" i="6"/>
  <c r="X19" i="6"/>
  <c r="Z19" i="6"/>
  <c r="AD19" i="6"/>
  <c r="AE19" i="6"/>
  <c r="AF19" i="6"/>
  <c r="AP19" i="6"/>
  <c r="AQ19" i="6"/>
  <c r="AR19" i="6"/>
  <c r="AA528" i="6"/>
  <c r="AB528" i="6" s="1"/>
  <c r="AA527" i="6"/>
  <c r="AB527" i="6" s="1"/>
  <c r="AA526" i="6"/>
  <c r="AB526" i="6" s="1"/>
  <c r="AA525" i="6"/>
  <c r="AB525" i="6" s="1"/>
  <c r="AA524" i="6"/>
  <c r="AB524" i="6" s="1"/>
  <c r="AA523" i="6"/>
  <c r="AB523" i="6" s="1"/>
  <c r="AA522" i="6"/>
  <c r="AB522" i="6" s="1"/>
  <c r="AA521" i="6"/>
  <c r="AB521" i="6" s="1"/>
  <c r="AA520" i="6"/>
  <c r="AB520" i="6" s="1"/>
  <c r="AA519" i="6"/>
  <c r="AB519" i="6" s="1"/>
  <c r="AA518" i="6"/>
  <c r="AB518" i="6" s="1"/>
  <c r="AA517" i="6"/>
  <c r="AB517" i="6" s="1"/>
  <c r="AA516" i="6"/>
  <c r="AB516" i="6" s="1"/>
  <c r="AA515" i="6"/>
  <c r="AB515" i="6" s="1"/>
  <c r="AA514" i="6"/>
  <c r="AB514" i="6" s="1"/>
  <c r="AA513" i="6"/>
  <c r="AB513" i="6" s="1"/>
  <c r="AA512" i="6"/>
  <c r="AB512" i="6" s="1"/>
  <c r="AA511" i="6"/>
  <c r="AB511" i="6" s="1"/>
  <c r="AA510" i="6"/>
  <c r="AB510" i="6" s="1"/>
  <c r="AA509" i="6"/>
  <c r="AB509" i="6" s="1"/>
  <c r="AA508" i="6"/>
  <c r="AB508" i="6" s="1"/>
  <c r="AA507" i="6"/>
  <c r="AB507" i="6" s="1"/>
  <c r="AA506" i="6"/>
  <c r="AB506" i="6" s="1"/>
  <c r="AA505" i="6"/>
  <c r="AB505" i="6" s="1"/>
  <c r="AA504" i="6"/>
  <c r="AB504" i="6" s="1"/>
  <c r="AA503" i="6"/>
  <c r="AB503" i="6" s="1"/>
  <c r="AA502" i="6"/>
  <c r="AB502" i="6" s="1"/>
  <c r="AA501" i="6"/>
  <c r="AB501" i="6" s="1"/>
  <c r="AA500" i="6"/>
  <c r="AB500" i="6" s="1"/>
  <c r="AA499" i="6"/>
  <c r="AB499" i="6" s="1"/>
  <c r="AA498" i="6"/>
  <c r="AB498" i="6" s="1"/>
  <c r="AA497" i="6"/>
  <c r="AB497" i="6" s="1"/>
  <c r="AA496" i="6"/>
  <c r="AB496" i="6" s="1"/>
  <c r="AA495" i="6"/>
  <c r="AB495" i="6" s="1"/>
  <c r="AA494" i="6"/>
  <c r="AB494" i="6" s="1"/>
  <c r="AA493" i="6"/>
  <c r="AB493" i="6" s="1"/>
  <c r="AA492" i="6"/>
  <c r="AB492" i="6" s="1"/>
  <c r="AA491" i="6"/>
  <c r="AB491" i="6" s="1"/>
  <c r="AA490" i="6"/>
  <c r="AB490" i="6" s="1"/>
  <c r="AA489" i="6"/>
  <c r="AB489" i="6" s="1"/>
  <c r="AA488" i="6"/>
  <c r="AB488" i="6" s="1"/>
  <c r="AA487" i="6"/>
  <c r="AB487" i="6" s="1"/>
  <c r="AA486" i="6"/>
  <c r="AB486" i="6" s="1"/>
  <c r="AA485" i="6"/>
  <c r="AB485" i="6" s="1"/>
  <c r="AA484" i="6"/>
  <c r="AB484" i="6" s="1"/>
  <c r="AA483" i="6"/>
  <c r="AB483" i="6" s="1"/>
  <c r="AA482" i="6"/>
  <c r="AB482" i="6" s="1"/>
  <c r="AA481" i="6"/>
  <c r="AB481" i="6" s="1"/>
  <c r="AA480" i="6"/>
  <c r="AB480" i="6" s="1"/>
  <c r="AA479" i="6"/>
  <c r="AB479" i="6" s="1"/>
  <c r="AA478" i="6"/>
  <c r="AB478" i="6" s="1"/>
  <c r="AA477" i="6"/>
  <c r="AB477" i="6" s="1"/>
  <c r="AA476" i="6"/>
  <c r="AB476" i="6" s="1"/>
  <c r="AA475" i="6"/>
  <c r="AB475" i="6" s="1"/>
  <c r="AA474" i="6"/>
  <c r="AB474" i="6" s="1"/>
  <c r="AA473" i="6"/>
  <c r="AB473" i="6" s="1"/>
  <c r="AA472" i="6"/>
  <c r="AB472" i="6" s="1"/>
  <c r="AA471" i="6"/>
  <c r="AB471" i="6" s="1"/>
  <c r="AA470" i="6"/>
  <c r="AB470" i="6" s="1"/>
  <c r="AA469" i="6"/>
  <c r="AB469" i="6" s="1"/>
  <c r="AA468" i="6"/>
  <c r="AB468" i="6" s="1"/>
  <c r="AA467" i="6"/>
  <c r="AB467" i="6" s="1"/>
  <c r="AA466" i="6"/>
  <c r="AB466" i="6" s="1"/>
  <c r="AA465" i="6"/>
  <c r="AB465" i="6" s="1"/>
  <c r="AA464" i="6"/>
  <c r="AB464" i="6" s="1"/>
  <c r="AA463" i="6"/>
  <c r="AB463" i="6" s="1"/>
  <c r="AA462" i="6"/>
  <c r="AB462" i="6" s="1"/>
  <c r="AA461" i="6"/>
  <c r="AB461" i="6" s="1"/>
  <c r="AA460" i="6"/>
  <c r="AB460" i="6" s="1"/>
  <c r="AA459" i="6"/>
  <c r="AB459" i="6" s="1"/>
  <c r="AA458" i="6"/>
  <c r="AB458" i="6" s="1"/>
  <c r="AA457" i="6"/>
  <c r="AB457" i="6" s="1"/>
  <c r="AA456" i="6"/>
  <c r="AB456" i="6" s="1"/>
  <c r="AA455" i="6"/>
  <c r="AB455" i="6" s="1"/>
  <c r="AA454" i="6"/>
  <c r="AB454" i="6" s="1"/>
  <c r="AA453" i="6"/>
  <c r="AB453" i="6" s="1"/>
  <c r="AA452" i="6"/>
  <c r="AB452" i="6" s="1"/>
  <c r="AA451" i="6"/>
  <c r="AB451" i="6" s="1"/>
  <c r="AA450" i="6"/>
  <c r="AB450" i="6" s="1"/>
  <c r="AA449" i="6"/>
  <c r="AB449" i="6" s="1"/>
  <c r="AA448" i="6"/>
  <c r="AB448" i="6" s="1"/>
  <c r="AA447" i="6"/>
  <c r="AB447" i="6" s="1"/>
  <c r="AA446" i="6"/>
  <c r="AB446" i="6" s="1"/>
  <c r="AA445" i="6"/>
  <c r="AB445" i="6" s="1"/>
  <c r="AA444" i="6"/>
  <c r="AB444" i="6" s="1"/>
  <c r="AA443" i="6"/>
  <c r="AB443" i="6" s="1"/>
  <c r="AA442" i="6"/>
  <c r="AB442" i="6" s="1"/>
  <c r="AA441" i="6"/>
  <c r="AB441" i="6" s="1"/>
  <c r="AA440" i="6"/>
  <c r="AB440" i="6" s="1"/>
  <c r="AA439" i="6"/>
  <c r="AB439" i="6" s="1"/>
  <c r="AA438" i="6"/>
  <c r="AB438" i="6" s="1"/>
  <c r="AA437" i="6"/>
  <c r="AB437" i="6" s="1"/>
  <c r="AA436" i="6"/>
  <c r="AB436" i="6" s="1"/>
  <c r="AA435" i="6"/>
  <c r="AB435" i="6" s="1"/>
  <c r="AA434" i="6"/>
  <c r="AB434" i="6" s="1"/>
  <c r="AA433" i="6"/>
  <c r="AB433" i="6" s="1"/>
  <c r="AA432" i="6"/>
  <c r="AB432" i="6" s="1"/>
  <c r="AA431" i="6"/>
  <c r="AB431" i="6" s="1"/>
  <c r="AA430" i="6"/>
  <c r="AB430" i="6" s="1"/>
  <c r="AA429" i="6"/>
  <c r="AB429" i="6" s="1"/>
  <c r="AA428" i="6"/>
  <c r="AB428" i="6" s="1"/>
  <c r="AA427" i="6"/>
  <c r="AB427" i="6" s="1"/>
  <c r="AA426" i="6"/>
  <c r="AB426" i="6" s="1"/>
  <c r="AA425" i="6"/>
  <c r="AB425" i="6" s="1"/>
  <c r="AA424" i="6"/>
  <c r="AB424" i="6" s="1"/>
  <c r="AA423" i="6"/>
  <c r="AB423" i="6" s="1"/>
  <c r="AA422" i="6"/>
  <c r="AB422" i="6" s="1"/>
  <c r="AA421" i="6"/>
  <c r="AB421" i="6" s="1"/>
  <c r="AA420" i="6"/>
  <c r="AB420" i="6" s="1"/>
  <c r="AA419" i="6"/>
  <c r="AB419" i="6" s="1"/>
  <c r="AA418" i="6"/>
  <c r="AB418" i="6" s="1"/>
  <c r="AA417" i="6"/>
  <c r="AB417" i="6" s="1"/>
  <c r="AA416" i="6"/>
  <c r="AB416" i="6" s="1"/>
  <c r="AA415" i="6"/>
  <c r="AB415" i="6" s="1"/>
  <c r="AA414" i="6"/>
  <c r="AB414" i="6" s="1"/>
  <c r="AA413" i="6"/>
  <c r="AB413" i="6" s="1"/>
  <c r="AA412" i="6"/>
  <c r="AB412" i="6" s="1"/>
  <c r="AA411" i="6"/>
  <c r="AB411" i="6" s="1"/>
  <c r="AA410" i="6"/>
  <c r="AB410" i="6" s="1"/>
  <c r="AA409" i="6"/>
  <c r="AB409" i="6" s="1"/>
  <c r="AA408" i="6"/>
  <c r="AB408" i="6" s="1"/>
  <c r="AA407" i="6"/>
  <c r="AB407" i="6" s="1"/>
  <c r="AA406" i="6"/>
  <c r="AB406" i="6" s="1"/>
  <c r="AA405" i="6"/>
  <c r="AB405" i="6" s="1"/>
  <c r="AA404" i="6"/>
  <c r="AB404" i="6" s="1"/>
  <c r="AA403" i="6"/>
  <c r="AB403" i="6" s="1"/>
  <c r="AA402" i="6"/>
  <c r="AB402" i="6" s="1"/>
  <c r="AA401" i="6"/>
  <c r="AB401" i="6" s="1"/>
  <c r="AA400" i="6"/>
  <c r="AB400" i="6" s="1"/>
  <c r="AA399" i="6"/>
  <c r="AB399" i="6" s="1"/>
  <c r="AA398" i="6"/>
  <c r="AB398" i="6" s="1"/>
  <c r="AA397" i="6"/>
  <c r="AB397" i="6" s="1"/>
  <c r="AA396" i="6"/>
  <c r="AB396" i="6" s="1"/>
  <c r="AA395" i="6"/>
  <c r="AB395" i="6" s="1"/>
  <c r="AA394" i="6"/>
  <c r="AB394" i="6" s="1"/>
  <c r="AA393" i="6"/>
  <c r="AB393" i="6" s="1"/>
  <c r="AA392" i="6"/>
  <c r="AB392" i="6" s="1"/>
  <c r="AA391" i="6"/>
  <c r="AB391" i="6" s="1"/>
  <c r="AA390" i="6"/>
  <c r="AB390" i="6" s="1"/>
  <c r="AA389" i="6"/>
  <c r="AB389" i="6" s="1"/>
  <c r="AA388" i="6"/>
  <c r="AB388" i="6" s="1"/>
  <c r="AA387" i="6"/>
  <c r="AB387" i="6" s="1"/>
  <c r="AA386" i="6"/>
  <c r="AB386" i="6" s="1"/>
  <c r="AA385" i="6"/>
  <c r="AB385" i="6" s="1"/>
  <c r="AA384" i="6"/>
  <c r="AB384" i="6" s="1"/>
  <c r="AA383" i="6"/>
  <c r="AB383" i="6" s="1"/>
  <c r="AA382" i="6"/>
  <c r="AB382" i="6" s="1"/>
  <c r="AA381" i="6"/>
  <c r="AB381" i="6" s="1"/>
  <c r="AB380" i="6"/>
  <c r="AB379" i="6"/>
  <c r="AB378" i="6"/>
  <c r="AB377" i="6"/>
  <c r="AB376" i="6"/>
  <c r="AB375" i="6"/>
  <c r="AB374" i="6"/>
  <c r="AB373" i="6"/>
  <c r="AB372" i="6"/>
  <c r="AB371" i="6"/>
  <c r="AB370" i="6"/>
  <c r="AB369" i="6"/>
  <c r="AB368" i="6"/>
  <c r="AB367" i="6"/>
  <c r="AB366" i="6"/>
  <c r="AB365" i="6"/>
  <c r="AB364" i="6"/>
  <c r="AB363" i="6"/>
  <c r="AB362" i="6"/>
  <c r="AB361" i="6"/>
  <c r="AB360" i="6"/>
  <c r="AB359" i="6"/>
  <c r="AB358" i="6"/>
  <c r="AB357" i="6"/>
  <c r="AB356" i="6"/>
  <c r="AB355" i="6"/>
  <c r="AB354" i="6"/>
  <c r="AB353" i="6"/>
  <c r="AB352" i="6"/>
  <c r="AB351" i="6"/>
  <c r="AB350" i="6"/>
  <c r="AB349" i="6"/>
  <c r="AB348" i="6"/>
  <c r="AB347" i="6"/>
  <c r="AB346" i="6"/>
  <c r="AB345" i="6"/>
  <c r="AB344" i="6"/>
  <c r="AB343" i="6"/>
  <c r="AB342" i="6"/>
  <c r="AB341" i="6"/>
  <c r="AB340" i="6"/>
  <c r="AE11" i="6"/>
  <c r="AF11" i="6"/>
  <c r="AP11" i="6"/>
  <c r="AQ11" i="6"/>
  <c r="AR11" i="6"/>
  <c r="V96" i="6"/>
  <c r="Z96" i="6"/>
  <c r="AD96" i="6"/>
  <c r="AF96" i="6"/>
  <c r="AO96" i="6"/>
  <c r="AQ96" i="6"/>
  <c r="AR96" i="6"/>
  <c r="AS96" i="6"/>
  <c r="S23" i="3"/>
  <c r="S112" i="3"/>
  <c r="S381" i="3"/>
  <c r="S396" i="3"/>
  <c r="S301" i="3"/>
  <c r="S13" i="3"/>
  <c r="S29" i="3"/>
  <c r="S360" i="3"/>
  <c r="S165" i="3"/>
  <c r="S254" i="3"/>
  <c r="S273" i="3"/>
  <c r="S10" i="1"/>
  <c r="S9" i="1"/>
  <c r="S23" i="1"/>
  <c r="S14" i="1"/>
  <c r="S16" i="1"/>
  <c r="S24" i="1"/>
  <c r="S107" i="1"/>
  <c r="S17" i="1"/>
  <c r="S15" i="1"/>
  <c r="S47" i="1"/>
  <c r="S27" i="1"/>
  <c r="S21" i="1"/>
  <c r="S86" i="1"/>
  <c r="S197" i="1"/>
  <c r="S33" i="1"/>
  <c r="S216" i="1"/>
  <c r="S105" i="1"/>
  <c r="S194" i="1"/>
  <c r="S36" i="1"/>
  <c r="S155" i="1"/>
  <c r="S262" i="1"/>
  <c r="S45" i="1"/>
  <c r="S26" i="1"/>
  <c r="S7" i="1"/>
  <c r="S269" i="6"/>
  <c r="S10" i="6"/>
  <c r="S9" i="6"/>
  <c r="S11" i="8"/>
  <c r="S10" i="8"/>
  <c r="S25" i="4"/>
  <c r="S18" i="4"/>
  <c r="S278" i="3"/>
  <c r="S451" i="3"/>
  <c r="S388" i="3"/>
  <c r="S405" i="3"/>
  <c r="S62" i="3"/>
  <c r="S265" i="3"/>
  <c r="S16" i="3"/>
  <c r="S8" i="3"/>
  <c r="S9" i="3"/>
  <c r="S6" i="3"/>
  <c r="S340" i="3"/>
  <c r="S191" i="3"/>
  <c r="S183" i="3"/>
  <c r="S33" i="3"/>
  <c r="S28" i="4"/>
  <c r="S299" i="3"/>
  <c r="S204" i="3"/>
  <c r="S412" i="3"/>
  <c r="S53" i="1"/>
  <c r="S121" i="3"/>
  <c r="S167" i="3"/>
  <c r="S161" i="1"/>
  <c r="S386" i="3"/>
  <c r="S68" i="1"/>
  <c r="S281" i="3"/>
  <c r="S266" i="3"/>
  <c r="S375" i="3"/>
  <c r="S450" i="3"/>
  <c r="S422" i="3"/>
  <c r="S187" i="1"/>
  <c r="S163" i="1"/>
  <c r="S164" i="1"/>
  <c r="S274" i="1"/>
  <c r="S269" i="1"/>
  <c r="S73" i="1"/>
  <c r="S247" i="1"/>
  <c r="S198" i="1"/>
  <c r="S66" i="1"/>
  <c r="S11" i="1"/>
  <c r="S249" i="1"/>
  <c r="S166" i="1"/>
  <c r="S196" i="1"/>
  <c r="S22" i="1"/>
  <c r="S28" i="1"/>
  <c r="S6" i="1"/>
  <c r="S157" i="1"/>
  <c r="S229" i="1"/>
  <c r="S29" i="1"/>
  <c r="S113" i="1"/>
  <c r="S74" i="1"/>
  <c r="S190" i="1"/>
  <c r="S151" i="1"/>
  <c r="S30" i="1"/>
  <c r="S152" i="1"/>
  <c r="S171" i="1"/>
  <c r="S121" i="1"/>
  <c r="S34" i="1"/>
  <c r="S263" i="1"/>
  <c r="S98" i="1"/>
  <c r="S219" i="1"/>
  <c r="S106" i="1"/>
  <c r="S169" i="1"/>
  <c r="S253" i="1"/>
  <c r="S279" i="1"/>
  <c r="S90" i="1"/>
  <c r="S65" i="1"/>
  <c r="S135" i="1"/>
  <c r="S143" i="1"/>
  <c r="S174" i="1"/>
  <c r="S25" i="5"/>
  <c r="S20" i="5"/>
  <c r="S32" i="5"/>
  <c r="S16" i="5"/>
  <c r="S47" i="5"/>
  <c r="S46" i="5"/>
  <c r="S30" i="5"/>
  <c r="S48" i="5"/>
  <c r="S12" i="5"/>
  <c r="S22" i="5"/>
  <c r="S29" i="5"/>
  <c r="S37" i="5"/>
  <c r="S14" i="5"/>
  <c r="AA14" i="5" s="1"/>
  <c r="AB14" i="5" s="1"/>
  <c r="S17" i="5"/>
  <c r="S24" i="5"/>
  <c r="S33" i="5"/>
  <c r="S42" i="5"/>
  <c r="S40" i="5"/>
  <c r="T11" i="3"/>
  <c r="T23" i="3"/>
  <c r="T14" i="3"/>
  <c r="T160" i="3"/>
  <c r="T29" i="3"/>
  <c r="T16" i="3"/>
  <c r="T9" i="3"/>
  <c r="T27" i="3"/>
  <c r="T12" i="3"/>
  <c r="T28" i="4"/>
  <c r="T112" i="3"/>
  <c r="T381" i="3"/>
  <c r="T13" i="3"/>
  <c r="T165" i="3"/>
  <c r="T360" i="3"/>
  <c r="T297" i="3"/>
  <c r="T422" i="3"/>
  <c r="T20" i="1"/>
  <c r="T19" i="1"/>
  <c r="T16" i="1"/>
  <c r="T24" i="1"/>
  <c r="T121" i="1"/>
  <c r="T74" i="1"/>
  <c r="T222" i="1"/>
  <c r="T111" i="1"/>
  <c r="T15" i="1"/>
  <c r="T17" i="1"/>
  <c r="T21" i="1"/>
  <c r="T10" i="1"/>
  <c r="T47" i="1"/>
  <c r="T27" i="1"/>
  <c r="T86" i="1"/>
  <c r="T65" i="1"/>
  <c r="T172" i="1"/>
  <c r="T26" i="1"/>
  <c r="T7" i="1"/>
  <c r="T91" i="6"/>
  <c r="T198" i="6"/>
  <c r="T222" i="6"/>
  <c r="T18" i="4"/>
  <c r="T30" i="4"/>
  <c r="T428" i="3"/>
  <c r="T217" i="3"/>
  <c r="T10" i="3"/>
  <c r="T183" i="3"/>
  <c r="T391" i="3"/>
  <c r="T8" i="3"/>
  <c r="T6" i="3"/>
  <c r="T50" i="3"/>
  <c r="AU50" i="3"/>
  <c r="AV50" i="3" s="1"/>
  <c r="AH50" i="3" s="1"/>
  <c r="AG50" i="3"/>
  <c r="X50" i="3"/>
  <c r="W50" i="3"/>
  <c r="T191" i="3"/>
  <c r="T340" i="3"/>
  <c r="T275" i="3"/>
  <c r="T33" i="3"/>
  <c r="T359" i="3"/>
  <c r="T299" i="3"/>
  <c r="T167" i="3"/>
  <c r="T192" i="3"/>
  <c r="T335" i="3"/>
  <c r="T273" i="3"/>
  <c r="T281" i="3"/>
  <c r="T254" i="3"/>
  <c r="T107" i="1"/>
  <c r="T9" i="1"/>
  <c r="T11" i="1"/>
  <c r="T14" i="1"/>
  <c r="T28" i="1"/>
  <c r="T29" i="1"/>
  <c r="T22" i="1"/>
  <c r="T112" i="1"/>
  <c r="T190" i="1"/>
  <c r="T133" i="1"/>
  <c r="T40" i="1"/>
  <c r="T171" i="1"/>
  <c r="T152" i="1"/>
  <c r="T118" i="1"/>
  <c r="T30" i="1"/>
  <c r="T34" i="1"/>
  <c r="T220" i="1"/>
  <c r="T151" i="1"/>
  <c r="AE10" i="2"/>
  <c r="AJ10" i="2" s="1"/>
  <c r="AK10" i="2" s="1"/>
  <c r="Y10" i="2" s="1"/>
  <c r="V10" i="2"/>
  <c r="T6" i="1"/>
  <c r="T62" i="1"/>
  <c r="T169" i="1"/>
  <c r="T48" i="1"/>
  <c r="T253" i="1"/>
  <c r="T98" i="1"/>
  <c r="T197" i="1"/>
  <c r="T174" i="1"/>
  <c r="T90" i="1"/>
  <c r="T156" i="1"/>
  <c r="T279" i="1"/>
  <c r="U21" i="1"/>
  <c r="T47" i="5"/>
  <c r="T32" i="5"/>
  <c r="T16" i="5"/>
  <c r="T46" i="5"/>
  <c r="T12" i="5"/>
  <c r="T30" i="5"/>
  <c r="T29" i="5"/>
  <c r="T48" i="5"/>
  <c r="T22" i="5"/>
  <c r="T20" i="5"/>
  <c r="T40" i="5"/>
  <c r="T42" i="5"/>
  <c r="T24" i="5"/>
  <c r="T33" i="5"/>
  <c r="T19" i="5"/>
  <c r="T18" i="5"/>
  <c r="U47" i="1"/>
  <c r="U74" i="1"/>
  <c r="U121" i="1"/>
  <c r="U88" i="1"/>
  <c r="U27" i="1"/>
  <c r="U10" i="1"/>
  <c r="U153" i="1"/>
  <c r="U140" i="1"/>
  <c r="U22" i="1"/>
  <c r="U11" i="1"/>
  <c r="U9" i="1"/>
  <c r="U28" i="1"/>
  <c r="U24" i="1"/>
  <c r="U23" i="1"/>
  <c r="U16" i="1"/>
  <c r="U169" i="1"/>
  <c r="U190" i="1"/>
  <c r="U135" i="1"/>
  <c r="U151" i="1"/>
  <c r="U197" i="1"/>
  <c r="U34" i="1"/>
  <c r="U26" i="1"/>
  <c r="U7" i="1"/>
  <c r="U118" i="1"/>
  <c r="U17" i="1"/>
  <c r="U15" i="1"/>
  <c r="U129" i="3"/>
  <c r="U33" i="3"/>
  <c r="U416" i="3"/>
  <c r="U29" i="3"/>
  <c r="U356" i="3"/>
  <c r="U301" i="3"/>
  <c r="U9" i="3"/>
  <c r="U16" i="3"/>
  <c r="U23" i="3"/>
  <c r="U40" i="5"/>
  <c r="U9" i="5"/>
  <c r="U20" i="5"/>
  <c r="U32" i="5"/>
  <c r="U47" i="5"/>
  <c r="U16" i="5"/>
  <c r="U46" i="5"/>
  <c r="U279" i="1"/>
  <c r="U98" i="1"/>
  <c r="U113" i="1"/>
  <c r="U30" i="1"/>
  <c r="U171" i="1"/>
  <c r="U152" i="1"/>
  <c r="U107" i="1"/>
  <c r="U29" i="1"/>
  <c r="U112" i="3"/>
  <c r="U281" i="3"/>
  <c r="U295" i="3"/>
  <c r="U275" i="3"/>
  <c r="U191" i="3"/>
  <c r="U291" i="3"/>
  <c r="U340" i="3"/>
  <c r="U288" i="3"/>
  <c r="U183" i="3"/>
  <c r="U396" i="3"/>
  <c r="U8" i="3"/>
  <c r="U6" i="3"/>
  <c r="U140" i="6"/>
  <c r="U269" i="6"/>
  <c r="U29" i="8"/>
  <c r="U31" i="8"/>
  <c r="Z288" i="3"/>
  <c r="Z13" i="3"/>
  <c r="Z16" i="3"/>
  <c r="V16" i="3"/>
  <c r="V197" i="6"/>
  <c r="V36" i="6"/>
  <c r="V9" i="6"/>
  <c r="V6" i="8"/>
  <c r="V8" i="8"/>
  <c r="V14" i="6"/>
  <c r="V15" i="6"/>
  <c r="V6" i="6"/>
  <c r="V86" i="6"/>
  <c r="V17" i="6"/>
  <c r="V7" i="6"/>
  <c r="V8" i="6"/>
  <c r="V237" i="6"/>
  <c r="V291" i="6"/>
  <c r="V116" i="6"/>
  <c r="V35" i="6"/>
  <c r="V185" i="6"/>
  <c r="V183" i="6"/>
  <c r="V266" i="6"/>
  <c r="V248" i="6"/>
  <c r="V10" i="6"/>
  <c r="V111" i="3"/>
  <c r="V333" i="3"/>
  <c r="V65" i="3"/>
  <c r="V161" i="3"/>
  <c r="V370" i="3"/>
  <c r="V463" i="3"/>
  <c r="V94" i="3"/>
  <c r="V437" i="3"/>
  <c r="V134" i="3"/>
  <c r="V323" i="3"/>
  <c r="V420" i="3"/>
  <c r="V384" i="3"/>
  <c r="V39" i="3"/>
  <c r="V33" i="3"/>
  <c r="V191" i="3"/>
  <c r="V291" i="3"/>
  <c r="V340" i="3"/>
  <c r="V29" i="3"/>
  <c r="V356" i="3"/>
  <c r="V23" i="3"/>
  <c r="V183" i="3"/>
  <c r="V21" i="2"/>
  <c r="V171" i="1"/>
  <c r="V29" i="1"/>
  <c r="V107" i="1"/>
  <c r="V139" i="1"/>
  <c r="V22" i="1"/>
  <c r="V11" i="1"/>
  <c r="V9" i="1"/>
  <c r="V28" i="1"/>
  <c r="V133" i="1"/>
  <c r="V20" i="1"/>
  <c r="V241" i="1"/>
  <c r="V19" i="1"/>
  <c r="V10" i="1"/>
  <c r="V23" i="1"/>
  <c r="V47" i="1"/>
  <c r="V6" i="1"/>
  <c r="V24" i="1"/>
  <c r="V16" i="1"/>
  <c r="V14" i="1"/>
  <c r="V28" i="4"/>
  <c r="V381" i="3"/>
  <c r="V12" i="2"/>
  <c r="V15" i="2"/>
  <c r="V34" i="1"/>
  <c r="V151" i="1"/>
  <c r="V30" i="1"/>
  <c r="V152" i="1"/>
  <c r="V118" i="1"/>
  <c r="V153" i="1"/>
  <c r="V47" i="5"/>
  <c r="V16" i="5"/>
  <c r="V9" i="5"/>
  <c r="V46" i="5"/>
  <c r="V416" i="3"/>
  <c r="V129" i="3"/>
  <c r="V179" i="3"/>
  <c r="V275" i="3"/>
  <c r="V295" i="3"/>
  <c r="V210" i="3"/>
  <c r="V27" i="1"/>
  <c r="V98" i="1"/>
  <c r="V21" i="1"/>
  <c r="V18" i="1"/>
  <c r="V216" i="1"/>
  <c r="V224" i="1"/>
  <c r="V30" i="2"/>
  <c r="V88" i="1"/>
  <c r="V26" i="1"/>
  <c r="V7" i="1"/>
  <c r="V25" i="5"/>
  <c r="V8" i="3"/>
  <c r="V6" i="3"/>
  <c r="V336" i="3"/>
  <c r="V13" i="3"/>
  <c r="V288" i="3"/>
  <c r="V112" i="3"/>
  <c r="V316" i="3"/>
  <c r="V8" i="2"/>
  <c r="V182" i="1"/>
  <c r="V28" i="2"/>
  <c r="V18" i="2"/>
  <c r="V13" i="2"/>
  <c r="V279" i="1"/>
  <c r="V231" i="1"/>
  <c r="V197" i="1"/>
  <c r="V245" i="1"/>
  <c r="V135" i="1"/>
  <c r="V190" i="1"/>
  <c r="V169" i="1"/>
  <c r="V105" i="1"/>
  <c r="V25" i="1"/>
  <c r="V65" i="1"/>
  <c r="V12" i="1"/>
  <c r="V32" i="5"/>
  <c r="V52" i="1"/>
  <c r="V173" i="1"/>
  <c r="V20" i="5"/>
  <c r="V31" i="5"/>
  <c r="V40" i="5"/>
  <c r="V42" i="5"/>
  <c r="W146" i="6"/>
  <c r="W260" i="6"/>
  <c r="W225" i="6"/>
  <c r="W12" i="6"/>
  <c r="W30" i="3"/>
  <c r="W198" i="6"/>
  <c r="W294" i="3"/>
  <c r="Z30" i="4"/>
  <c r="W238" i="6"/>
  <c r="W280" i="6"/>
  <c r="W288" i="3"/>
  <c r="W13" i="3"/>
  <c r="W9" i="3"/>
  <c r="W197" i="6"/>
  <c r="W36" i="6"/>
  <c r="W9" i="6"/>
  <c r="W237" i="6"/>
  <c r="W291" i="6"/>
  <c r="W116" i="6"/>
  <c r="W35" i="6"/>
  <c r="W185" i="6"/>
  <c r="W183" i="6"/>
  <c r="W42" i="6"/>
  <c r="W266" i="6"/>
  <c r="W248" i="6"/>
  <c r="W10" i="6"/>
  <c r="W6" i="6"/>
  <c r="W15" i="6"/>
  <c r="W8" i="8"/>
  <c r="W14" i="6"/>
  <c r="W17" i="6"/>
  <c r="W7" i="6"/>
  <c r="W86" i="6"/>
  <c r="W8" i="6"/>
  <c r="W33" i="3"/>
  <c r="W191" i="3"/>
  <c r="W291" i="3"/>
  <c r="W340" i="3"/>
  <c r="W436" i="3"/>
  <c r="W29" i="3"/>
  <c r="W356" i="3"/>
  <c r="W23" i="3"/>
  <c r="W183" i="3"/>
  <c r="W21" i="2"/>
  <c r="W171" i="1"/>
  <c r="W29" i="1"/>
  <c r="W107" i="1"/>
  <c r="W139" i="1"/>
  <c r="W22" i="1"/>
  <c r="W11" i="1"/>
  <c r="W9" i="1"/>
  <c r="W28" i="1"/>
  <c r="W10" i="1"/>
  <c r="W23" i="1"/>
  <c r="W6" i="1"/>
  <c r="W24" i="1"/>
  <c r="W16" i="1"/>
  <c r="W14" i="1"/>
  <c r="W69" i="1"/>
  <c r="W59" i="1"/>
  <c r="W124" i="1"/>
  <c r="W131" i="1"/>
  <c r="W119" i="1"/>
  <c r="W99" i="1"/>
  <c r="W126" i="1"/>
  <c r="W189" i="1"/>
  <c r="W108" i="1"/>
  <c r="W95" i="1"/>
  <c r="W193" i="1"/>
  <c r="W46" i="1"/>
  <c r="W272" i="1"/>
  <c r="W30" i="4"/>
  <c r="W171" i="6"/>
  <c r="W193" i="6"/>
  <c r="W274" i="6"/>
  <c r="W40" i="4"/>
  <c r="W428" i="3"/>
  <c r="W217" i="3"/>
  <c r="W169" i="3"/>
  <c r="W144" i="3"/>
  <c r="W27" i="3"/>
  <c r="W12" i="3"/>
  <c r="W17" i="1"/>
  <c r="W15" i="1"/>
  <c r="W19" i="1"/>
  <c r="W21" i="1"/>
  <c r="W169" i="1"/>
  <c r="W135" i="1"/>
  <c r="W153" i="1"/>
  <c r="W312" i="6"/>
  <c r="W129" i="3"/>
  <c r="W416" i="3"/>
  <c r="W28" i="4"/>
  <c r="W210" i="3"/>
  <c r="W119" i="3"/>
  <c r="W324" i="3"/>
  <c r="W373" i="3"/>
  <c r="W96" i="3"/>
  <c r="W251" i="3"/>
  <c r="W54" i="3"/>
  <c r="W381" i="3"/>
  <c r="W30" i="1"/>
  <c r="W152" i="1"/>
  <c r="W118" i="1"/>
  <c r="W197" i="1"/>
  <c r="W151" i="1"/>
  <c r="W190" i="1"/>
  <c r="W34" i="1"/>
  <c r="W224" i="1"/>
  <c r="W46" i="5"/>
  <c r="AK8" i="8"/>
  <c r="Y8" i="8" s="1"/>
  <c r="AV8" i="8"/>
  <c r="AV9" i="8"/>
  <c r="AA220" i="6" l="1"/>
  <c r="AB220" i="6" s="1"/>
  <c r="N220" i="6" s="1"/>
  <c r="P220" i="6" s="1"/>
  <c r="Q220" i="6" s="1"/>
  <c r="D220" i="6" s="1"/>
  <c r="AA233" i="6"/>
  <c r="AB233" i="6" s="1"/>
  <c r="N233" i="6" s="1"/>
  <c r="P233" i="6" s="1"/>
  <c r="Q233" i="6" s="1"/>
  <c r="D233" i="6" s="1"/>
  <c r="N14" i="5"/>
  <c r="P14" i="5" s="1"/>
  <c r="Q14" i="5" s="1"/>
  <c r="D14" i="5" s="1"/>
  <c r="N46" i="2"/>
  <c r="P46" i="2" s="1"/>
  <c r="Q46" i="2" s="1"/>
  <c r="N102" i="6"/>
  <c r="P102" i="6" s="1"/>
  <c r="Q102" i="6" s="1"/>
  <c r="D102" i="6" s="1"/>
  <c r="N215" i="6"/>
  <c r="P215" i="6" s="1"/>
  <c r="Q215" i="6" s="1"/>
  <c r="D215" i="6" s="1"/>
  <c r="N206" i="6"/>
  <c r="P206" i="6" s="1"/>
  <c r="Q206" i="6" s="1"/>
  <c r="D206" i="6" s="1"/>
  <c r="N33" i="6"/>
  <c r="P33" i="6" s="1"/>
  <c r="Q33" i="6" s="1"/>
  <c r="D33" i="6" s="1"/>
  <c r="N277" i="6"/>
  <c r="P277" i="6" s="1"/>
  <c r="Q277" i="6" s="1"/>
  <c r="D277" i="6" s="1"/>
  <c r="N300" i="6"/>
  <c r="P300" i="6" s="1"/>
  <c r="Q300" i="6" s="1"/>
  <c r="D300" i="6" s="1"/>
  <c r="N110" i="6"/>
  <c r="P110" i="6" s="1"/>
  <c r="Q110" i="6" s="1"/>
  <c r="D110" i="6" s="1"/>
  <c r="N298" i="6"/>
  <c r="P298" i="6" s="1"/>
  <c r="Q298" i="6" s="1"/>
  <c r="D298" i="6" s="1"/>
  <c r="N70" i="6"/>
  <c r="P70" i="6" s="1"/>
  <c r="Q70" i="6" s="1"/>
  <c r="D70" i="6" s="1"/>
  <c r="N119" i="6"/>
  <c r="P119" i="6" s="1"/>
  <c r="Q119" i="6" s="1"/>
  <c r="D119" i="6" s="1"/>
  <c r="N117" i="6"/>
  <c r="P117" i="6" s="1"/>
  <c r="Q117" i="6" s="1"/>
  <c r="D117" i="6" s="1"/>
  <c r="N174" i="6"/>
  <c r="P174" i="6" s="1"/>
  <c r="Q174" i="6" s="1"/>
  <c r="D174" i="6" s="1"/>
  <c r="N234" i="6"/>
  <c r="P234" i="6" s="1"/>
  <c r="Q234" i="6" s="1"/>
  <c r="D234" i="6" s="1"/>
  <c r="N73" i="6"/>
  <c r="P73" i="6" s="1"/>
  <c r="Q73" i="6" s="1"/>
  <c r="D73" i="6" s="1"/>
  <c r="N84" i="6"/>
  <c r="P84" i="6" s="1"/>
  <c r="Q84" i="6" s="1"/>
  <c r="D84" i="6" s="1"/>
  <c r="N88" i="6"/>
  <c r="P88" i="6" s="1"/>
  <c r="Q88" i="6" s="1"/>
  <c r="D88" i="6" s="1"/>
  <c r="N258" i="6"/>
  <c r="P258" i="6" s="1"/>
  <c r="Q258" i="6" s="1"/>
  <c r="D258" i="6" s="1"/>
  <c r="N130" i="6"/>
  <c r="P130" i="6" s="1"/>
  <c r="Q130" i="6" s="1"/>
  <c r="D130" i="6" s="1"/>
  <c r="N221" i="6"/>
  <c r="P221" i="6" s="1"/>
  <c r="Q221" i="6" s="1"/>
  <c r="D221" i="6" s="1"/>
  <c r="N56" i="6"/>
  <c r="P56" i="6" s="1"/>
  <c r="Q56" i="6" s="1"/>
  <c r="D56" i="6" s="1"/>
  <c r="N94" i="1"/>
  <c r="P94" i="1" s="1"/>
  <c r="Q94" i="1" s="1"/>
  <c r="D94" i="1" s="1"/>
  <c r="N93" i="1"/>
  <c r="P93" i="1" s="1"/>
  <c r="Q93" i="1" s="1"/>
  <c r="D93" i="1" s="1"/>
  <c r="AA188" i="6"/>
  <c r="AB188" i="6" s="1"/>
  <c r="AA153" i="6"/>
  <c r="AB153" i="6" s="1"/>
  <c r="AA41" i="6"/>
  <c r="AB41" i="6" s="1"/>
  <c r="AA249" i="6"/>
  <c r="AB249" i="6" s="1"/>
  <c r="AA31" i="8"/>
  <c r="AB31" i="8" s="1"/>
  <c r="N31" i="8" s="1"/>
  <c r="P31" i="8" s="1"/>
  <c r="Q31" i="8" s="1"/>
  <c r="D31" i="8" s="1"/>
  <c r="AA292" i="6"/>
  <c r="AB292" i="6" s="1"/>
  <c r="AA154" i="6"/>
  <c r="AB154" i="6" s="1"/>
  <c r="AA60" i="6"/>
  <c r="AB60" i="6" s="1"/>
  <c r="AA208" i="6"/>
  <c r="AB208" i="6" s="1"/>
  <c r="AA80" i="6"/>
  <c r="AB80" i="6" s="1"/>
  <c r="AA34" i="6"/>
  <c r="AB34" i="6" s="1"/>
  <c r="AA134" i="6"/>
  <c r="AB134" i="6" s="1"/>
  <c r="AA218" i="6"/>
  <c r="AB218" i="6" s="1"/>
  <c r="AA189" i="6"/>
  <c r="AB189" i="6" s="1"/>
  <c r="AA141" i="6"/>
  <c r="AB141" i="6" s="1"/>
  <c r="AA114" i="6"/>
  <c r="AB114" i="6" s="1"/>
  <c r="AA26" i="6"/>
  <c r="AB26" i="6" s="1"/>
  <c r="AA171" i="6"/>
  <c r="AB171" i="6" s="1"/>
  <c r="AA181" i="6"/>
  <c r="AB181" i="6" s="1"/>
  <c r="AA42" i="4"/>
  <c r="AB42" i="4" s="1"/>
  <c r="AJ22" i="4"/>
  <c r="AK22" i="4" s="1"/>
  <c r="Y22" i="4" s="1"/>
  <c r="AA22" i="4" s="1"/>
  <c r="AB22" i="4" s="1"/>
  <c r="AA25" i="4"/>
  <c r="AB25" i="4" s="1"/>
  <c r="AA46" i="4"/>
  <c r="AB46" i="4" s="1"/>
  <c r="AA12" i="5"/>
  <c r="AB12" i="5" s="1"/>
  <c r="AA8" i="8"/>
  <c r="AA29" i="8"/>
  <c r="AB29" i="8" s="1"/>
  <c r="N29" i="8" s="1"/>
  <c r="P29" i="8" s="1"/>
  <c r="Q29" i="8" s="1"/>
  <c r="D29" i="8" s="1"/>
  <c r="AA11" i="8"/>
  <c r="AB11" i="8" s="1"/>
  <c r="N11" i="8" s="1"/>
  <c r="P11" i="8" s="1"/>
  <c r="Q11" i="8" s="1"/>
  <c r="D11" i="8" s="1"/>
  <c r="AA10" i="8"/>
  <c r="AB10" i="8" s="1"/>
  <c r="N10" i="8" s="1"/>
  <c r="P10" i="8" s="1"/>
  <c r="Q10" i="8" s="1"/>
  <c r="D10" i="8" s="1"/>
  <c r="AB8" i="8"/>
  <c r="N8" i="8" s="1"/>
  <c r="P8" i="8" s="1"/>
  <c r="Q8" i="8" s="1"/>
  <c r="D8" i="8" s="1"/>
  <c r="AB16" i="4"/>
  <c r="AA22" i="2"/>
  <c r="AB22" i="2" s="1"/>
  <c r="AA62" i="1"/>
  <c r="AB62" i="1" s="1"/>
  <c r="AV253" i="6"/>
  <c r="AH253" i="6" s="1"/>
  <c r="AJ253" i="6" s="1"/>
  <c r="AK253" i="6" s="1"/>
  <c r="Y253" i="6" s="1"/>
  <c r="AA253" i="6" s="1"/>
  <c r="AB253" i="6" s="1"/>
  <c r="AU23" i="4"/>
  <c r="AV23" i="4" s="1"/>
  <c r="AH23" i="4" s="1"/>
  <c r="AJ23" i="4" s="1"/>
  <c r="AK23" i="4" s="1"/>
  <c r="AA111" i="3"/>
  <c r="AB111" i="3" s="1"/>
  <c r="N111" i="3" s="1"/>
  <c r="P111" i="3" s="1"/>
  <c r="Q111" i="3" s="1"/>
  <c r="D111" i="3" s="1"/>
  <c r="AA374" i="3"/>
  <c r="AB374" i="3" s="1"/>
  <c r="N374" i="3" s="1"/>
  <c r="P374" i="3" s="1"/>
  <c r="Q374" i="3" s="1"/>
  <c r="D374" i="3" s="1"/>
  <c r="AA265" i="3"/>
  <c r="AB265" i="3" s="1"/>
  <c r="N265" i="3" s="1"/>
  <c r="P265" i="3" s="1"/>
  <c r="Q265" i="3" s="1"/>
  <c r="D265" i="3" s="1"/>
  <c r="AA242" i="3"/>
  <c r="AB242" i="3" s="1"/>
  <c r="N242" i="3" s="1"/>
  <c r="P242" i="3" s="1"/>
  <c r="Q242" i="3" s="1"/>
  <c r="D242" i="3" s="1"/>
  <c r="AA343" i="3"/>
  <c r="AB343" i="3" s="1"/>
  <c r="N343" i="3" s="1"/>
  <c r="P343" i="3" s="1"/>
  <c r="Q343" i="3" s="1"/>
  <c r="D343" i="3" s="1"/>
  <c r="AA420" i="3"/>
  <c r="AB420" i="3" s="1"/>
  <c r="N420" i="3" s="1"/>
  <c r="P420" i="3" s="1"/>
  <c r="Q420" i="3" s="1"/>
  <c r="D420" i="3" s="1"/>
  <c r="AA60" i="3"/>
  <c r="AB60" i="3" s="1"/>
  <c r="N60" i="3" s="1"/>
  <c r="P60" i="3" s="1"/>
  <c r="Q60" i="3" s="1"/>
  <c r="D60" i="3" s="1"/>
  <c r="AA370" i="3"/>
  <c r="AB370" i="3" s="1"/>
  <c r="N370" i="3" s="1"/>
  <c r="P370" i="3" s="1"/>
  <c r="Q370" i="3" s="1"/>
  <c r="D370" i="3" s="1"/>
  <c r="AA382" i="3"/>
  <c r="AB382" i="3" s="1"/>
  <c r="N382" i="3" s="1"/>
  <c r="P382" i="3" s="1"/>
  <c r="Q382" i="3" s="1"/>
  <c r="D382" i="3" s="1"/>
  <c r="AA359" i="3"/>
  <c r="AB359" i="3" s="1"/>
  <c r="N359" i="3" s="1"/>
  <c r="P359" i="3" s="1"/>
  <c r="Q359" i="3" s="1"/>
  <c r="D359" i="3" s="1"/>
  <c r="AA376" i="3"/>
  <c r="AB376" i="3" s="1"/>
  <c r="N376" i="3" s="1"/>
  <c r="P376" i="3" s="1"/>
  <c r="Q376" i="3" s="1"/>
  <c r="D376" i="3" s="1"/>
  <c r="AA48" i="3"/>
  <c r="AB48" i="3" s="1"/>
  <c r="N48" i="3" s="1"/>
  <c r="P48" i="3" s="1"/>
  <c r="Q48" i="3" s="1"/>
  <c r="D48" i="3" s="1"/>
  <c r="AA56" i="3"/>
  <c r="AB56" i="3" s="1"/>
  <c r="N56" i="3" s="1"/>
  <c r="P56" i="3" s="1"/>
  <c r="Q56" i="3" s="1"/>
  <c r="D56" i="3" s="1"/>
  <c r="AA163" i="3"/>
  <c r="AB163" i="3" s="1"/>
  <c r="N163" i="3" s="1"/>
  <c r="P163" i="3" s="1"/>
  <c r="Q163" i="3" s="1"/>
  <c r="D163" i="3" s="1"/>
  <c r="AA179" i="3"/>
  <c r="AB179" i="3" s="1"/>
  <c r="N179" i="3" s="1"/>
  <c r="P179" i="3" s="1"/>
  <c r="Q179" i="3" s="1"/>
  <c r="D179" i="3" s="1"/>
  <c r="AA254" i="3"/>
  <c r="AB254" i="3" s="1"/>
  <c r="N254" i="3" s="1"/>
  <c r="P254" i="3" s="1"/>
  <c r="Q254" i="3" s="1"/>
  <c r="D254" i="3" s="1"/>
  <c r="AA412" i="3"/>
  <c r="AB412" i="3" s="1"/>
  <c r="N412" i="3" s="1"/>
  <c r="P412" i="3" s="1"/>
  <c r="Q412" i="3" s="1"/>
  <c r="D412" i="3" s="1"/>
  <c r="AA324" i="3"/>
  <c r="AB324" i="3" s="1"/>
  <c r="N324" i="3" s="1"/>
  <c r="P324" i="3" s="1"/>
  <c r="Q324" i="3" s="1"/>
  <c r="D324" i="3" s="1"/>
  <c r="AA176" i="3"/>
  <c r="AB176" i="3" s="1"/>
  <c r="N176" i="3" s="1"/>
  <c r="P176" i="3" s="1"/>
  <c r="Q176" i="3" s="1"/>
  <c r="D176" i="3" s="1"/>
  <c r="AA360" i="3"/>
  <c r="AB360" i="3" s="1"/>
  <c r="N360" i="3" s="1"/>
  <c r="P360" i="3" s="1"/>
  <c r="Q360" i="3" s="1"/>
  <c r="D360" i="3" s="1"/>
  <c r="AA363" i="3"/>
  <c r="AB363" i="3" s="1"/>
  <c r="N363" i="3" s="1"/>
  <c r="P363" i="3" s="1"/>
  <c r="Q363" i="3" s="1"/>
  <c r="D363" i="3" s="1"/>
  <c r="AA98" i="3"/>
  <c r="AB98" i="3" s="1"/>
  <c r="N98" i="3" s="1"/>
  <c r="P98" i="3" s="1"/>
  <c r="Q98" i="3" s="1"/>
  <c r="D98" i="3" s="1"/>
  <c r="AA105" i="3"/>
  <c r="AB105" i="3" s="1"/>
  <c r="N105" i="3" s="1"/>
  <c r="P105" i="3" s="1"/>
  <c r="Q105" i="3" s="1"/>
  <c r="D105" i="3" s="1"/>
  <c r="AA310" i="3"/>
  <c r="AB310" i="3" s="1"/>
  <c r="N310" i="3" s="1"/>
  <c r="P310" i="3" s="1"/>
  <c r="Q310" i="3" s="1"/>
  <c r="D310" i="3" s="1"/>
  <c r="AA94" i="3"/>
  <c r="AB94" i="3" s="1"/>
  <c r="N94" i="3" s="1"/>
  <c r="P94" i="3" s="1"/>
  <c r="Q94" i="3" s="1"/>
  <c r="D94" i="3" s="1"/>
  <c r="AA396" i="3"/>
  <c r="AB396" i="3" s="1"/>
  <c r="N396" i="3" s="1"/>
  <c r="P396" i="3" s="1"/>
  <c r="Q396" i="3" s="1"/>
  <c r="D396" i="3" s="1"/>
  <c r="AA230" i="3"/>
  <c r="AB230" i="3" s="1"/>
  <c r="N230" i="3" s="1"/>
  <c r="P230" i="3" s="1"/>
  <c r="Q230" i="3" s="1"/>
  <c r="D230" i="3" s="1"/>
  <c r="AA301" i="3"/>
  <c r="AB301" i="3" s="1"/>
  <c r="N301" i="3" s="1"/>
  <c r="P301" i="3" s="1"/>
  <c r="Q301" i="3" s="1"/>
  <c r="D301" i="3" s="1"/>
  <c r="AA258" i="3"/>
  <c r="AB258" i="3" s="1"/>
  <c r="N258" i="3" s="1"/>
  <c r="P258" i="3" s="1"/>
  <c r="Q258" i="3" s="1"/>
  <c r="D258" i="3" s="1"/>
  <c r="AA266" i="3"/>
  <c r="AB266" i="3" s="1"/>
  <c r="N266" i="3" s="1"/>
  <c r="P266" i="3" s="1"/>
  <c r="Q266" i="3" s="1"/>
  <c r="D266" i="3" s="1"/>
  <c r="AA65" i="3"/>
  <c r="AB65" i="3" s="1"/>
  <c r="N65" i="3" s="1"/>
  <c r="P65" i="3" s="1"/>
  <c r="Q65" i="3" s="1"/>
  <c r="D65" i="3" s="1"/>
  <c r="AA201" i="3"/>
  <c r="AB201" i="3" s="1"/>
  <c r="N201" i="3" s="1"/>
  <c r="P201" i="3" s="1"/>
  <c r="Q201" i="3" s="1"/>
  <c r="D201" i="3" s="1"/>
  <c r="AA226" i="3"/>
  <c r="AB226" i="3" s="1"/>
  <c r="N226" i="3" s="1"/>
  <c r="P226" i="3" s="1"/>
  <c r="Q226" i="3" s="1"/>
  <c r="D226" i="3" s="1"/>
  <c r="AA127" i="3"/>
  <c r="AB127" i="3" s="1"/>
  <c r="N127" i="3" s="1"/>
  <c r="P127" i="3" s="1"/>
  <c r="Q127" i="3" s="1"/>
  <c r="D127" i="3" s="1"/>
  <c r="AA112" i="3"/>
  <c r="AB112" i="3" s="1"/>
  <c r="N112" i="3" s="1"/>
  <c r="P112" i="3" s="1"/>
  <c r="Q112" i="3" s="1"/>
  <c r="D112" i="3" s="1"/>
  <c r="AA131" i="3"/>
  <c r="AB131" i="3" s="1"/>
  <c r="N131" i="3" s="1"/>
  <c r="P131" i="3" s="1"/>
  <c r="Q131" i="3" s="1"/>
  <c r="D131" i="3" s="1"/>
  <c r="AA119" i="3"/>
  <c r="AB119" i="3" s="1"/>
  <c r="N119" i="3" s="1"/>
  <c r="P119" i="3" s="1"/>
  <c r="Q119" i="3" s="1"/>
  <c r="D119" i="3" s="1"/>
  <c r="AA422" i="3"/>
  <c r="AB422" i="3" s="1"/>
  <c r="N422" i="3" s="1"/>
  <c r="P422" i="3" s="1"/>
  <c r="Q422" i="3" s="1"/>
  <c r="D422" i="3" s="1"/>
  <c r="AA141" i="3"/>
  <c r="AB141" i="3" s="1"/>
  <c r="N141" i="3" s="1"/>
  <c r="P141" i="3" s="1"/>
  <c r="Q141" i="3" s="1"/>
  <c r="D141" i="3" s="1"/>
  <c r="AA375" i="3"/>
  <c r="AB375" i="3" s="1"/>
  <c r="N375" i="3" s="1"/>
  <c r="P375" i="3" s="1"/>
  <c r="Q375" i="3" s="1"/>
  <c r="D375" i="3" s="1"/>
  <c r="AA323" i="3"/>
  <c r="AB323" i="3" s="1"/>
  <c r="N323" i="3" s="1"/>
  <c r="P323" i="3" s="1"/>
  <c r="Q323" i="3" s="1"/>
  <c r="D323" i="3" s="1"/>
  <c r="AA100" i="3"/>
  <c r="AB100" i="3" s="1"/>
  <c r="N100" i="3" s="1"/>
  <c r="P100" i="3" s="1"/>
  <c r="Q100" i="3" s="1"/>
  <c r="D100" i="3" s="1"/>
  <c r="AA174" i="3"/>
  <c r="AB174" i="3" s="1"/>
  <c r="N174" i="3" s="1"/>
  <c r="P174" i="3" s="1"/>
  <c r="Q174" i="3" s="1"/>
  <c r="D174" i="3" s="1"/>
  <c r="Y463" i="3"/>
  <c r="AA463" i="3" s="1"/>
  <c r="AB463" i="3" s="1"/>
  <c r="N463" i="3" s="1"/>
  <c r="P463" i="3" s="1"/>
  <c r="Q463" i="3" s="1"/>
  <c r="D463" i="3" s="1"/>
  <c r="Y220" i="3"/>
  <c r="AA220" i="3" s="1"/>
  <c r="AB220" i="3" s="1"/>
  <c r="N220" i="3" s="1"/>
  <c r="P220" i="3" s="1"/>
  <c r="Q220" i="3" s="1"/>
  <c r="D220" i="3" s="1"/>
  <c r="AA192" i="3"/>
  <c r="AB192" i="3" s="1"/>
  <c r="N192" i="3" s="1"/>
  <c r="P192" i="3" s="1"/>
  <c r="Q192" i="3" s="1"/>
  <c r="D192" i="3" s="1"/>
  <c r="Y190" i="3"/>
  <c r="AA190" i="3" s="1"/>
  <c r="AB190" i="3" s="1"/>
  <c r="N190" i="3" s="1"/>
  <c r="P190" i="3" s="1"/>
  <c r="Q190" i="3" s="1"/>
  <c r="D190" i="3" s="1"/>
  <c r="Y467" i="3"/>
  <c r="AA467" i="3" s="1"/>
  <c r="AB467" i="3" s="1"/>
  <c r="N467" i="3" s="1"/>
  <c r="P467" i="3" s="1"/>
  <c r="Q467" i="3" s="1"/>
  <c r="D467" i="3" s="1"/>
  <c r="Y465" i="3"/>
  <c r="AA465" i="3" s="1"/>
  <c r="AB465" i="3" s="1"/>
  <c r="N465" i="3" s="1"/>
  <c r="P465" i="3" s="1"/>
  <c r="Q465" i="3" s="1"/>
  <c r="D465" i="3" s="1"/>
  <c r="AA204" i="3"/>
  <c r="AB204" i="3" s="1"/>
  <c r="N204" i="3" s="1"/>
  <c r="P204" i="3" s="1"/>
  <c r="Q204" i="3" s="1"/>
  <c r="D204" i="3" s="1"/>
  <c r="AA62" i="3"/>
  <c r="AB62" i="3" s="1"/>
  <c r="N62" i="3" s="1"/>
  <c r="P62" i="3" s="1"/>
  <c r="Q62" i="3" s="1"/>
  <c r="D62" i="3" s="1"/>
  <c r="AA390" i="3"/>
  <c r="AB390" i="3" s="1"/>
  <c r="N390" i="3" s="1"/>
  <c r="P390" i="3" s="1"/>
  <c r="Q390" i="3" s="1"/>
  <c r="D390" i="3" s="1"/>
  <c r="AA43" i="3"/>
  <c r="AB43" i="3" s="1"/>
  <c r="N43" i="3" s="1"/>
  <c r="P43" i="3" s="1"/>
  <c r="Q43" i="3" s="1"/>
  <c r="D43" i="3" s="1"/>
  <c r="AA77" i="3"/>
  <c r="AB77" i="3" s="1"/>
  <c r="N77" i="3" s="1"/>
  <c r="P77" i="3" s="1"/>
  <c r="Q77" i="3" s="1"/>
  <c r="D77" i="3" s="1"/>
  <c r="AA385" i="3"/>
  <c r="AB385" i="3" s="1"/>
  <c r="N385" i="3" s="1"/>
  <c r="P385" i="3" s="1"/>
  <c r="Q385" i="3" s="1"/>
  <c r="D385" i="3" s="1"/>
  <c r="AA272" i="3"/>
  <c r="AB272" i="3" s="1"/>
  <c r="N272" i="3" s="1"/>
  <c r="P272" i="3" s="1"/>
  <c r="Q272" i="3" s="1"/>
  <c r="D272" i="3" s="1"/>
  <c r="Y161" i="3"/>
  <c r="AA161" i="3" s="1"/>
  <c r="AB161" i="3" s="1"/>
  <c r="N161" i="3" s="1"/>
  <c r="P161" i="3" s="1"/>
  <c r="Q161" i="3" s="1"/>
  <c r="D161" i="3" s="1"/>
  <c r="AA39" i="3"/>
  <c r="AB39" i="3" s="1"/>
  <c r="N39" i="3" s="1"/>
  <c r="P39" i="3" s="1"/>
  <c r="Q39" i="3" s="1"/>
  <c r="D39" i="3" s="1"/>
  <c r="AA388" i="3"/>
  <c r="AB388" i="3" s="1"/>
  <c r="N388" i="3" s="1"/>
  <c r="P388" i="3" s="1"/>
  <c r="Q388" i="3" s="1"/>
  <c r="D388" i="3" s="1"/>
  <c r="AA366" i="3"/>
  <c r="AB366" i="3" s="1"/>
  <c r="N366" i="3" s="1"/>
  <c r="P366" i="3" s="1"/>
  <c r="Q366" i="3" s="1"/>
  <c r="D366" i="3" s="1"/>
  <c r="AA143" i="3"/>
  <c r="AB143" i="3" s="1"/>
  <c r="N143" i="3" s="1"/>
  <c r="P143" i="3" s="1"/>
  <c r="Q143" i="3" s="1"/>
  <c r="D143" i="3" s="1"/>
  <c r="AA394" i="3"/>
  <c r="AB394" i="3" s="1"/>
  <c r="N394" i="3" s="1"/>
  <c r="P394" i="3" s="1"/>
  <c r="Q394" i="3" s="1"/>
  <c r="D394" i="3" s="1"/>
  <c r="Y281" i="3"/>
  <c r="AA281" i="3" s="1"/>
  <c r="AB281" i="3" s="1"/>
  <c r="N281" i="3" s="1"/>
  <c r="P281" i="3" s="1"/>
  <c r="Q281" i="3" s="1"/>
  <c r="D281" i="3" s="1"/>
  <c r="AA167" i="3"/>
  <c r="AB167" i="3" s="1"/>
  <c r="N167" i="3" s="1"/>
  <c r="P167" i="3" s="1"/>
  <c r="Q167" i="3" s="1"/>
  <c r="D167" i="3" s="1"/>
  <c r="AA333" i="3"/>
  <c r="AB333" i="3" s="1"/>
  <c r="N333" i="3" s="1"/>
  <c r="P333" i="3" s="1"/>
  <c r="Q333" i="3" s="1"/>
  <c r="D333" i="3" s="1"/>
  <c r="AA297" i="3"/>
  <c r="AB297" i="3" s="1"/>
  <c r="N297" i="3" s="1"/>
  <c r="P297" i="3" s="1"/>
  <c r="Q297" i="3" s="1"/>
  <c r="D297" i="3" s="1"/>
  <c r="AA451" i="3"/>
  <c r="AB451" i="3" s="1"/>
  <c r="N451" i="3" s="1"/>
  <c r="P451" i="3" s="1"/>
  <c r="Q451" i="3" s="1"/>
  <c r="D451" i="3" s="1"/>
  <c r="Y74" i="3"/>
  <c r="AA74" i="3" s="1"/>
  <c r="AB74" i="3" s="1"/>
  <c r="N74" i="3" s="1"/>
  <c r="P74" i="3" s="1"/>
  <c r="Q74" i="3" s="1"/>
  <c r="D74" i="3" s="1"/>
  <c r="AA432" i="3"/>
  <c r="AB432" i="3" s="1"/>
  <c r="N432" i="3" s="1"/>
  <c r="P432" i="3" s="1"/>
  <c r="Q432" i="3" s="1"/>
  <c r="D432" i="3" s="1"/>
  <c r="Y450" i="3"/>
  <c r="AA450" i="3" s="1"/>
  <c r="AB450" i="3" s="1"/>
  <c r="N450" i="3" s="1"/>
  <c r="P450" i="3" s="1"/>
  <c r="Q450" i="3" s="1"/>
  <c r="D450" i="3" s="1"/>
  <c r="Y206" i="3"/>
  <c r="AA206" i="3" s="1"/>
  <c r="AB206" i="3" s="1"/>
  <c r="N206" i="3" s="1"/>
  <c r="P206" i="3" s="1"/>
  <c r="Q206" i="3" s="1"/>
  <c r="D206" i="3" s="1"/>
  <c r="AA120" i="3"/>
  <c r="AB120" i="3" s="1"/>
  <c r="N120" i="3" s="1"/>
  <c r="P120" i="3" s="1"/>
  <c r="Q120" i="3" s="1"/>
  <c r="D120" i="3" s="1"/>
  <c r="AA433" i="3"/>
  <c r="AB433" i="3" s="1"/>
  <c r="N433" i="3" s="1"/>
  <c r="P433" i="3" s="1"/>
  <c r="Q433" i="3" s="1"/>
  <c r="D433" i="3" s="1"/>
  <c r="Y299" i="3"/>
  <c r="AA299" i="3" s="1"/>
  <c r="AB299" i="3" s="1"/>
  <c r="N299" i="3" s="1"/>
  <c r="P299" i="3" s="1"/>
  <c r="Q299" i="3" s="1"/>
  <c r="D299" i="3" s="1"/>
  <c r="AA440" i="3"/>
  <c r="AB440" i="3" s="1"/>
  <c r="N440" i="3" s="1"/>
  <c r="P440" i="3" s="1"/>
  <c r="Q440" i="3" s="1"/>
  <c r="D440" i="3" s="1"/>
  <c r="Y104" i="3"/>
  <c r="AA104" i="3" s="1"/>
  <c r="AB104" i="3" s="1"/>
  <c r="N104" i="3" s="1"/>
  <c r="P104" i="3" s="1"/>
  <c r="Q104" i="3" s="1"/>
  <c r="D104" i="3" s="1"/>
  <c r="AA89" i="3"/>
  <c r="AB89" i="3" s="1"/>
  <c r="N89" i="3" s="1"/>
  <c r="P89" i="3" s="1"/>
  <c r="Q89" i="3" s="1"/>
  <c r="D89" i="3" s="1"/>
  <c r="Y290" i="3"/>
  <c r="AA290" i="3" s="1"/>
  <c r="AB290" i="3" s="1"/>
  <c r="N290" i="3" s="1"/>
  <c r="P290" i="3" s="1"/>
  <c r="Q290" i="3" s="1"/>
  <c r="D290" i="3" s="1"/>
  <c r="Y453" i="3"/>
  <c r="AA453" i="3" s="1"/>
  <c r="AB453" i="3" s="1"/>
  <c r="N453" i="3" s="1"/>
  <c r="P453" i="3" s="1"/>
  <c r="Q453" i="3" s="1"/>
  <c r="D453" i="3" s="1"/>
  <c r="AA335" i="3"/>
  <c r="AB335" i="3" s="1"/>
  <c r="N335" i="3" s="1"/>
  <c r="P335" i="3" s="1"/>
  <c r="Q335" i="3" s="1"/>
  <c r="D335" i="3" s="1"/>
  <c r="Y121" i="3"/>
  <c r="AA121" i="3" s="1"/>
  <c r="AB121" i="3" s="1"/>
  <c r="N121" i="3" s="1"/>
  <c r="P121" i="3" s="1"/>
  <c r="Q121" i="3" s="1"/>
  <c r="D121" i="3" s="1"/>
  <c r="AA118" i="3"/>
  <c r="AB118" i="3" s="1"/>
  <c r="N118" i="3" s="1"/>
  <c r="P118" i="3" s="1"/>
  <c r="Q118" i="3" s="1"/>
  <c r="D118" i="3" s="1"/>
  <c r="AA405" i="3"/>
  <c r="AB405" i="3" s="1"/>
  <c r="N405" i="3" s="1"/>
  <c r="P405" i="3" s="1"/>
  <c r="Q405" i="3" s="1"/>
  <c r="D405" i="3" s="1"/>
  <c r="AA386" i="3"/>
  <c r="AB386" i="3" s="1"/>
  <c r="N386" i="3" s="1"/>
  <c r="P386" i="3" s="1"/>
  <c r="Q386" i="3" s="1"/>
  <c r="D386" i="3" s="1"/>
  <c r="AA86" i="3"/>
  <c r="AB86" i="3" s="1"/>
  <c r="N86" i="3" s="1"/>
  <c r="P86" i="3" s="1"/>
  <c r="Q86" i="3" s="1"/>
  <c r="D86" i="3" s="1"/>
  <c r="Y165" i="3"/>
  <c r="AA165" i="3" s="1"/>
  <c r="AB165" i="3" s="1"/>
  <c r="N165" i="3" s="1"/>
  <c r="P165" i="3" s="1"/>
  <c r="Q165" i="3" s="1"/>
  <c r="D165" i="3" s="1"/>
  <c r="Y353" i="3"/>
  <c r="AA353" i="3" s="1"/>
  <c r="AB353" i="3" s="1"/>
  <c r="N353" i="3" s="1"/>
  <c r="P353" i="3" s="1"/>
  <c r="Q353" i="3" s="1"/>
  <c r="D353" i="3" s="1"/>
  <c r="Y109" i="3"/>
  <c r="AA109" i="3" s="1"/>
  <c r="AB109" i="3" s="1"/>
  <c r="N109" i="3" s="1"/>
  <c r="P109" i="3" s="1"/>
  <c r="Q109" i="3" s="1"/>
  <c r="D109" i="3" s="1"/>
  <c r="AB460" i="3"/>
  <c r="N460" i="3" s="1"/>
  <c r="P460" i="3" s="1"/>
  <c r="Q460" i="3" s="1"/>
  <c r="D460" i="3" s="1"/>
  <c r="Y437" i="3"/>
  <c r="AA437" i="3" s="1"/>
  <c r="AB437" i="3" s="1"/>
  <c r="N437" i="3" s="1"/>
  <c r="P437" i="3" s="1"/>
  <c r="Q437" i="3" s="1"/>
  <c r="D437" i="3" s="1"/>
  <c r="Y273" i="3"/>
  <c r="AA273" i="3" s="1"/>
  <c r="AB273" i="3" s="1"/>
  <c r="N273" i="3" s="1"/>
  <c r="P273" i="3" s="1"/>
  <c r="Q273" i="3" s="1"/>
  <c r="D273" i="3" s="1"/>
  <c r="AB330" i="3"/>
  <c r="N330" i="3" s="1"/>
  <c r="P330" i="3" s="1"/>
  <c r="Q330" i="3" s="1"/>
  <c r="D330" i="3" s="1"/>
  <c r="AB164" i="3"/>
  <c r="N164" i="3" s="1"/>
  <c r="P164" i="3" s="1"/>
  <c r="Q164" i="3" s="1"/>
  <c r="D164" i="3" s="1"/>
  <c r="AB328" i="3"/>
  <c r="N328" i="3" s="1"/>
  <c r="P328" i="3" s="1"/>
  <c r="Q328" i="3" s="1"/>
  <c r="D328" i="3" s="1"/>
  <c r="AB38" i="3"/>
  <c r="N38" i="3" s="1"/>
  <c r="P38" i="3" s="1"/>
  <c r="Q38" i="3" s="1"/>
  <c r="D38" i="3" s="1"/>
  <c r="AB185" i="3"/>
  <c r="N185" i="3" s="1"/>
  <c r="P185" i="3" s="1"/>
  <c r="Q185" i="3" s="1"/>
  <c r="D185" i="3" s="1"/>
  <c r="AB247" i="3"/>
  <c r="N247" i="3" s="1"/>
  <c r="P247" i="3" s="1"/>
  <c r="Q247" i="3" s="1"/>
  <c r="D247" i="3" s="1"/>
  <c r="AB317" i="3"/>
  <c r="N317" i="3" s="1"/>
  <c r="P317" i="3" s="1"/>
  <c r="Q317" i="3" s="1"/>
  <c r="D317" i="3" s="1"/>
  <c r="AB181" i="3"/>
  <c r="N181" i="3" s="1"/>
  <c r="P181" i="3" s="1"/>
  <c r="Q181" i="3" s="1"/>
  <c r="D181" i="3" s="1"/>
  <c r="AB196" i="3"/>
  <c r="N196" i="3" s="1"/>
  <c r="P196" i="3" s="1"/>
  <c r="Q196" i="3" s="1"/>
  <c r="D196" i="3" s="1"/>
  <c r="AB36" i="3"/>
  <c r="N36" i="3" s="1"/>
  <c r="P36" i="3" s="1"/>
  <c r="Q36" i="3" s="1"/>
  <c r="AA45" i="2"/>
  <c r="AB45" i="2" s="1"/>
  <c r="AA14" i="2"/>
  <c r="AB14" i="2" s="1"/>
  <c r="AA13" i="2"/>
  <c r="AB13" i="2" s="1"/>
  <c r="AA40" i="2"/>
  <c r="AB40" i="2" s="1"/>
  <c r="AA23" i="2"/>
  <c r="AB23" i="2" s="1"/>
  <c r="AA20" i="2"/>
  <c r="AB20" i="2" s="1"/>
  <c r="AA10" i="2"/>
  <c r="AB10" i="2" s="1"/>
  <c r="AA19" i="2"/>
  <c r="AB19" i="2" s="1"/>
  <c r="AA42" i="2"/>
  <c r="AB42" i="2" s="1"/>
  <c r="AA31" i="2"/>
  <c r="AB31" i="2" s="1"/>
  <c r="AA27" i="2"/>
  <c r="AB27" i="2" s="1"/>
  <c r="Y43" i="2"/>
  <c r="AA43" i="2" s="1"/>
  <c r="AB43" i="2" s="1"/>
  <c r="AB17" i="2"/>
  <c r="AA73" i="1"/>
  <c r="AB73" i="1" s="1"/>
  <c r="AA139" i="1"/>
  <c r="AB139" i="1" s="1"/>
  <c r="AA187" i="1"/>
  <c r="AB187" i="1" s="1"/>
  <c r="AA173" i="1"/>
  <c r="AB173" i="1" s="1"/>
  <c r="AA40" i="1"/>
  <c r="AB40" i="1" s="1"/>
  <c r="AA249" i="1"/>
  <c r="AB249" i="1" s="1"/>
  <c r="AA36" i="1"/>
  <c r="AB36" i="1" s="1"/>
  <c r="AA106" i="1"/>
  <c r="AB106" i="1" s="1"/>
  <c r="AA231" i="1"/>
  <c r="AB231" i="1" s="1"/>
  <c r="AJ8" i="1"/>
  <c r="AK8" i="1" s="1"/>
  <c r="AA174" i="1"/>
  <c r="AB174" i="1" s="1"/>
  <c r="AA131" i="1"/>
  <c r="AB131" i="1" s="1"/>
  <c r="AA247" i="1"/>
  <c r="AB247" i="1" s="1"/>
  <c r="AA198" i="1"/>
  <c r="AB198" i="1" s="1"/>
  <c r="AA214" i="1"/>
  <c r="AB214" i="1" s="1"/>
  <c r="AA95" i="1"/>
  <c r="AB95" i="1" s="1"/>
  <c r="AA194" i="1"/>
  <c r="AB194" i="1" s="1"/>
  <c r="AA275" i="1"/>
  <c r="AB275" i="1" s="1"/>
  <c r="AA279" i="1"/>
  <c r="AB279" i="1" s="1"/>
  <c r="AA99" i="1"/>
  <c r="AB99" i="1" s="1"/>
  <c r="AA163" i="1"/>
  <c r="AB163" i="1" s="1"/>
  <c r="AA196" i="1"/>
  <c r="AB196" i="1" s="1"/>
  <c r="AA59" i="1"/>
  <c r="AB59" i="1" s="1"/>
  <c r="AA45" i="1"/>
  <c r="AB45" i="1" s="1"/>
  <c r="AA216" i="1"/>
  <c r="AB216" i="1" s="1"/>
  <c r="AA105" i="1"/>
  <c r="AB105" i="1" s="1"/>
  <c r="AA146" i="1"/>
  <c r="AB146" i="1" s="1"/>
  <c r="AA90" i="1"/>
  <c r="AB90" i="1" s="1"/>
  <c r="AA172" i="1"/>
  <c r="AB172" i="1" s="1"/>
  <c r="AA143" i="1"/>
  <c r="AB143" i="1" s="1"/>
  <c r="AA12" i="1"/>
  <c r="AB12" i="1" s="1"/>
  <c r="AA7" i="1"/>
  <c r="AB7" i="1" s="1"/>
  <c r="AA269" i="1"/>
  <c r="AB269" i="1" s="1"/>
  <c r="AA253" i="1"/>
  <c r="AB253" i="1" s="1"/>
  <c r="AA87" i="1"/>
  <c r="AB87" i="1" s="1"/>
  <c r="AA26" i="1"/>
  <c r="AB26" i="1" s="1"/>
  <c r="AA132" i="1"/>
  <c r="AB132" i="1" s="1"/>
  <c r="AA274" i="1"/>
  <c r="AB274" i="1" s="1"/>
  <c r="AA68" i="1"/>
  <c r="AB68" i="1" s="1"/>
  <c r="AA111" i="1"/>
  <c r="AB111" i="1" s="1"/>
  <c r="AA157" i="1"/>
  <c r="AB157" i="1" s="1"/>
  <c r="AA164" i="1"/>
  <c r="AB164" i="1" s="1"/>
  <c r="AA108" i="1"/>
  <c r="AB108" i="1" s="1"/>
  <c r="AA220" i="1"/>
  <c r="AB220" i="1" s="1"/>
  <c r="AA126" i="1"/>
  <c r="AB126" i="1" s="1"/>
  <c r="AA222" i="1"/>
  <c r="AB222" i="1" s="1"/>
  <c r="AA219" i="1"/>
  <c r="AB219" i="1" s="1"/>
  <c r="AA161" i="1"/>
  <c r="AB161" i="1" s="1"/>
  <c r="AA33" i="1"/>
  <c r="AB33" i="1" s="1"/>
  <c r="AA195" i="1"/>
  <c r="AB195" i="1" s="1"/>
  <c r="AJ72" i="1"/>
  <c r="AK72" i="1" s="1"/>
  <c r="Y72" i="1" s="1"/>
  <c r="AA72" i="1" s="1"/>
  <c r="AB72" i="1" s="1"/>
  <c r="AA189" i="1"/>
  <c r="AB189" i="1" s="1"/>
  <c r="AA88" i="1"/>
  <c r="AB88" i="1" s="1"/>
  <c r="AA192" i="1"/>
  <c r="AB192" i="1" s="1"/>
  <c r="AJ145" i="1"/>
  <c r="AK145" i="1" s="1"/>
  <c r="Y145" i="1" s="1"/>
  <c r="AA145" i="1" s="1"/>
  <c r="AB145" i="1" s="1"/>
  <c r="AA263" i="1"/>
  <c r="AB263" i="1" s="1"/>
  <c r="AA166" i="1"/>
  <c r="AB166" i="1" s="1"/>
  <c r="AJ57" i="1"/>
  <c r="AK57" i="1" s="1"/>
  <c r="Y57" i="1" s="1"/>
  <c r="AA57" i="1" s="1"/>
  <c r="AB57" i="1" s="1"/>
  <c r="AA262" i="1"/>
  <c r="AB262" i="1" s="1"/>
  <c r="AA69" i="1"/>
  <c r="AB69" i="1" s="1"/>
  <c r="AA66" i="1"/>
  <c r="AB66" i="1" s="1"/>
  <c r="AA232" i="1"/>
  <c r="AB232" i="1" s="1"/>
  <c r="AA25" i="1"/>
  <c r="AB25" i="1" s="1"/>
  <c r="AA53" i="1"/>
  <c r="AB53" i="1" s="1"/>
  <c r="AA124" i="1"/>
  <c r="AB124" i="1" s="1"/>
  <c r="AJ115" i="1"/>
  <c r="AK115" i="1" s="1"/>
  <c r="Y115" i="1" s="1"/>
  <c r="AA115" i="1" s="1"/>
  <c r="AB115" i="1" s="1"/>
  <c r="AA119" i="1"/>
  <c r="AB119" i="1" s="1"/>
  <c r="AA52" i="1"/>
  <c r="AB52" i="1" s="1"/>
  <c r="AA156" i="1"/>
  <c r="AB156" i="1" s="1"/>
  <c r="AA48" i="1"/>
  <c r="AB48" i="1" s="1"/>
  <c r="AA18" i="1"/>
  <c r="AB18" i="1" s="1"/>
  <c r="AA155" i="1"/>
  <c r="AB155" i="1" s="1"/>
  <c r="AA112" i="1"/>
  <c r="AB112" i="1" s="1"/>
  <c r="AA46" i="1"/>
  <c r="AB46" i="1" s="1"/>
  <c r="AU254" i="1"/>
  <c r="AV254" i="1" s="1"/>
  <c r="AH254" i="1" s="1"/>
  <c r="AJ254" i="1" s="1"/>
  <c r="AK254" i="1" s="1"/>
  <c r="AU97" i="1"/>
  <c r="AV97" i="1" s="1"/>
  <c r="AH97" i="1" s="1"/>
  <c r="AJ97" i="1" s="1"/>
  <c r="AK97" i="1" s="1"/>
  <c r="Y117" i="1"/>
  <c r="AA117" i="1" s="1"/>
  <c r="AB117" i="1" s="1"/>
  <c r="Y42" i="1"/>
  <c r="AA42" i="1" s="1"/>
  <c r="AB42" i="1" s="1"/>
  <c r="AJ407" i="3"/>
  <c r="AK407" i="3" s="1"/>
  <c r="AJ339" i="3"/>
  <c r="AK339" i="3" s="1"/>
  <c r="AJ300" i="3"/>
  <c r="AK300" i="3" s="1"/>
  <c r="AJ207" i="3"/>
  <c r="AK207" i="3" s="1"/>
  <c r="AJ309" i="3"/>
  <c r="AK309" i="3" s="1"/>
  <c r="AJ362" i="3"/>
  <c r="AK362" i="3" s="1"/>
  <c r="AJ145" i="3"/>
  <c r="AK145" i="3" s="1"/>
  <c r="AJ269" i="3"/>
  <c r="AK269" i="3" s="1"/>
  <c r="AJ152" i="3"/>
  <c r="AK152" i="3" s="1"/>
  <c r="AU455" i="3"/>
  <c r="AV455" i="3" s="1"/>
  <c r="AH455" i="3" s="1"/>
  <c r="AJ455" i="3" s="1"/>
  <c r="AK455" i="3" s="1"/>
  <c r="AU438" i="3"/>
  <c r="AV438" i="3" s="1"/>
  <c r="AH438" i="3" s="1"/>
  <c r="AJ438" i="3" s="1"/>
  <c r="AK438" i="3" s="1"/>
  <c r="AU429" i="3"/>
  <c r="AV429" i="3" s="1"/>
  <c r="AH429" i="3" s="1"/>
  <c r="AJ429" i="3" s="1"/>
  <c r="AK429" i="3" s="1"/>
  <c r="AU207" i="1"/>
  <c r="AV207" i="1" s="1"/>
  <c r="AH207" i="1" s="1"/>
  <c r="AU312" i="3"/>
  <c r="AV312" i="3" s="1"/>
  <c r="AH312" i="3" s="1"/>
  <c r="AJ312" i="3" s="1"/>
  <c r="AK312" i="3" s="1"/>
  <c r="AU236" i="3"/>
  <c r="AV236" i="3" s="1"/>
  <c r="AH236" i="3" s="1"/>
  <c r="AJ236" i="3" s="1"/>
  <c r="AK236" i="3" s="1"/>
  <c r="AU235" i="3"/>
  <c r="AV235" i="3" s="1"/>
  <c r="AH235" i="3" s="1"/>
  <c r="AJ235" i="3" s="1"/>
  <c r="AK235" i="3" s="1"/>
  <c r="AU102" i="3"/>
  <c r="AV102" i="3" s="1"/>
  <c r="AH102" i="3" s="1"/>
  <c r="AJ102" i="3" s="1"/>
  <c r="AK102" i="3" s="1"/>
  <c r="AU154" i="3"/>
  <c r="AV154" i="3" s="1"/>
  <c r="AH154" i="3" s="1"/>
  <c r="AJ154" i="3" s="1"/>
  <c r="AK154" i="3" s="1"/>
  <c r="AU93" i="3"/>
  <c r="AV93" i="3" s="1"/>
  <c r="AH93" i="3" s="1"/>
  <c r="AJ93" i="3" s="1"/>
  <c r="AK93" i="3" s="1"/>
  <c r="AU79" i="3"/>
  <c r="AV79" i="3" s="1"/>
  <c r="AH79" i="3" s="1"/>
  <c r="AJ79" i="3" s="1"/>
  <c r="AK79" i="3" s="1"/>
  <c r="AU75" i="3"/>
  <c r="AV75" i="3" s="1"/>
  <c r="AH75" i="3" s="1"/>
  <c r="AJ75" i="3" s="1"/>
  <c r="AK75" i="3" s="1"/>
  <c r="AU44" i="3"/>
  <c r="AV44" i="3" s="1"/>
  <c r="AH44" i="3" s="1"/>
  <c r="AJ44" i="3" s="1"/>
  <c r="AK44" i="3" s="1"/>
  <c r="AU67" i="3"/>
  <c r="AV67" i="3" s="1"/>
  <c r="AH67" i="3" s="1"/>
  <c r="AJ67" i="3" s="1"/>
  <c r="AK67" i="3" s="1"/>
  <c r="AU34" i="3"/>
  <c r="AV34" i="3" s="1"/>
  <c r="AH34" i="3" s="1"/>
  <c r="AJ34" i="3" s="1"/>
  <c r="AK34" i="3" s="1"/>
  <c r="AU32" i="3"/>
  <c r="AV32" i="3" s="1"/>
  <c r="AH32" i="3" s="1"/>
  <c r="AJ32" i="3" s="1"/>
  <c r="AK32" i="3" s="1"/>
  <c r="AU28" i="3"/>
  <c r="AV28" i="3" s="1"/>
  <c r="AH28" i="3" s="1"/>
  <c r="AJ28" i="3" s="1"/>
  <c r="AK28" i="3" s="1"/>
  <c r="AU372" i="3"/>
  <c r="AV372" i="3" s="1"/>
  <c r="AH372" i="3" s="1"/>
  <c r="AJ372" i="3" s="1"/>
  <c r="AK372" i="3" s="1"/>
  <c r="AJ15" i="3"/>
  <c r="AK15" i="3" s="1"/>
  <c r="AJ19" i="3"/>
  <c r="AK19" i="3" s="1"/>
  <c r="AU17" i="3"/>
  <c r="AV17" i="3" s="1"/>
  <c r="AH17" i="3" s="1"/>
  <c r="AJ17" i="3" s="1"/>
  <c r="AK17" i="3" s="1"/>
  <c r="AU91" i="3"/>
  <c r="AV91" i="3" s="1"/>
  <c r="AH91" i="3" s="1"/>
  <c r="AJ91" i="3" s="1"/>
  <c r="AK91" i="3" s="1"/>
  <c r="AJ50" i="3"/>
  <c r="AK50" i="3" s="1"/>
  <c r="AU7" i="3"/>
  <c r="AV7" i="3" s="1"/>
  <c r="AH7" i="3" s="1"/>
  <c r="AJ7" i="3" s="1"/>
  <c r="AK7" i="3" s="1"/>
  <c r="Y7" i="3" s="1"/>
  <c r="AA7" i="3" s="1"/>
  <c r="AU68" i="3"/>
  <c r="AV68" i="3" s="1"/>
  <c r="AH68" i="3" s="1"/>
  <c r="AJ68" i="3" s="1"/>
  <c r="AU43" i="4"/>
  <c r="AV43" i="4" s="1"/>
  <c r="AH43" i="4" s="1"/>
  <c r="AJ43" i="4" s="1"/>
  <c r="AK43" i="4" s="1"/>
  <c r="AU6" i="4"/>
  <c r="AV6" i="4" s="1"/>
  <c r="AH6" i="4" s="1"/>
  <c r="AJ6" i="4" s="1"/>
  <c r="AK6" i="4" s="1"/>
  <c r="Y6" i="4" s="1"/>
  <c r="AA6" i="4" s="1"/>
  <c r="AB6" i="4" s="1"/>
  <c r="AU295" i="6"/>
  <c r="AV295" i="6" s="1"/>
  <c r="AH295" i="6" s="1"/>
  <c r="AJ295" i="6" s="1"/>
  <c r="AU276" i="6"/>
  <c r="AV276" i="6" s="1"/>
  <c r="AH276" i="6" s="1"/>
  <c r="AJ276" i="6" s="1"/>
  <c r="AJ281" i="6"/>
  <c r="AU268" i="6"/>
  <c r="AV268" i="6" s="1"/>
  <c r="AH268" i="6" s="1"/>
  <c r="AJ268" i="6" s="1"/>
  <c r="AU251" i="6"/>
  <c r="AV251" i="6" s="1"/>
  <c r="AH251" i="6" s="1"/>
  <c r="AJ251" i="6" s="1"/>
  <c r="AJ242" i="6"/>
  <c r="AU202" i="6"/>
  <c r="AV202" i="6" s="1"/>
  <c r="AH202" i="6" s="1"/>
  <c r="AJ202" i="6" s="1"/>
  <c r="AU137" i="6"/>
  <c r="AV137" i="6" s="1"/>
  <c r="AH137" i="6" s="1"/>
  <c r="AJ137" i="6" s="1"/>
  <c r="AJ159" i="6"/>
  <c r="AJ127" i="6"/>
  <c r="AJ138" i="6"/>
  <c r="AJ77" i="6"/>
  <c r="AU107" i="6"/>
  <c r="AV107" i="6" s="1"/>
  <c r="AH107" i="6" s="1"/>
  <c r="AJ107" i="6" s="1"/>
  <c r="AJ120" i="6"/>
  <c r="AJ111" i="6"/>
  <c r="AU113" i="6"/>
  <c r="AV113" i="6" s="1"/>
  <c r="AH113" i="6" s="1"/>
  <c r="AJ113" i="6" s="1"/>
  <c r="AU93" i="6"/>
  <c r="AV93" i="6" s="1"/>
  <c r="AH93" i="6" s="1"/>
  <c r="AJ93" i="6" s="1"/>
  <c r="AU63" i="6"/>
  <c r="AV63" i="6" s="1"/>
  <c r="AH63" i="6" s="1"/>
  <c r="AJ63" i="6" s="1"/>
  <c r="AU55" i="6"/>
  <c r="AV55" i="6" s="1"/>
  <c r="AH55" i="6" s="1"/>
  <c r="AJ55" i="6" s="1"/>
  <c r="AU51" i="6"/>
  <c r="AV51" i="6" s="1"/>
  <c r="AH51" i="6" s="1"/>
  <c r="AJ51" i="6" s="1"/>
  <c r="AU47" i="6"/>
  <c r="AV47" i="6" s="1"/>
  <c r="AH47" i="6" s="1"/>
  <c r="AJ47" i="6" s="1"/>
  <c r="AV30" i="6"/>
  <c r="AH30" i="6" s="1"/>
  <c r="AJ30" i="6" s="1"/>
  <c r="AK306" i="6"/>
  <c r="Y306" i="6" s="1"/>
  <c r="AA306" i="6" s="1"/>
  <c r="AB306" i="6" s="1"/>
  <c r="AV27" i="6"/>
  <c r="AH27" i="6" s="1"/>
  <c r="AJ27" i="6" s="1"/>
  <c r="AJ219" i="6"/>
  <c r="AU20" i="6"/>
  <c r="AV20" i="6" s="1"/>
  <c r="AH20" i="6" s="1"/>
  <c r="AJ20" i="6" s="1"/>
  <c r="AU19" i="6"/>
  <c r="AV19" i="6" s="1"/>
  <c r="AH19" i="6" s="1"/>
  <c r="AJ19" i="6" s="1"/>
  <c r="AU11" i="6"/>
  <c r="AV11" i="6" s="1"/>
  <c r="AH11" i="6" s="1"/>
  <c r="AJ11" i="6" s="1"/>
  <c r="AU96" i="6"/>
  <c r="AV96" i="6" s="1"/>
  <c r="AH96" i="6" s="1"/>
  <c r="AJ96" i="6" s="1"/>
  <c r="W6" i="8"/>
  <c r="W91" i="6"/>
  <c r="W262" i="6"/>
  <c r="W290" i="6"/>
  <c r="W25" i="6"/>
  <c r="AA25" i="6" s="1"/>
  <c r="AB25" i="6" s="1"/>
  <c r="W25" i="3"/>
  <c r="W10" i="3"/>
  <c r="W6" i="3"/>
  <c r="AU116" i="3"/>
  <c r="AV116" i="3" s="1"/>
  <c r="W45" i="3"/>
  <c r="X12" i="6"/>
  <c r="W275" i="3"/>
  <c r="W378" i="3"/>
  <c r="W316" i="3"/>
  <c r="W8" i="2"/>
  <c r="W20" i="1"/>
  <c r="W55" i="1"/>
  <c r="W65" i="1"/>
  <c r="AA65" i="1" s="1"/>
  <c r="W86" i="1"/>
  <c r="AA86" i="1" s="1"/>
  <c r="W182" i="1"/>
  <c r="W228" i="1"/>
  <c r="W12" i="2"/>
  <c r="W28" i="2"/>
  <c r="W15" i="2"/>
  <c r="W18" i="2"/>
  <c r="W30" i="2"/>
  <c r="W133" i="1"/>
  <c r="AA133" i="1" s="1"/>
  <c r="W261" i="1"/>
  <c r="W241" i="1"/>
  <c r="W186" i="1"/>
  <c r="W98" i="1"/>
  <c r="W113" i="1"/>
  <c r="W16" i="5"/>
  <c r="W47" i="5"/>
  <c r="W9" i="5"/>
  <c r="W32" i="5"/>
  <c r="W20" i="5"/>
  <c r="AA20" i="5" s="1"/>
  <c r="AB20" i="5" s="1"/>
  <c r="W40" i="5"/>
  <c r="AA40" i="5" s="1"/>
  <c r="AB40" i="5" s="1"/>
  <c r="W42" i="5"/>
  <c r="AF296" i="6"/>
  <c r="X6" i="8"/>
  <c r="X197" i="6"/>
  <c r="X9" i="6"/>
  <c r="X288" i="3"/>
  <c r="X13" i="3"/>
  <c r="X16" i="3"/>
  <c r="X24" i="1"/>
  <c r="X23" i="1"/>
  <c r="X16" i="1"/>
  <c r="X14" i="1"/>
  <c r="X40" i="4"/>
  <c r="X428" i="3"/>
  <c r="X217" i="3"/>
  <c r="X10" i="3"/>
  <c r="X144" i="3"/>
  <c r="X27" i="3"/>
  <c r="X12" i="3"/>
  <c r="X340" i="3"/>
  <c r="X8" i="3"/>
  <c r="X291" i="3"/>
  <c r="X183" i="3"/>
  <c r="X33" i="3"/>
  <c r="X356" i="3"/>
  <c r="X29" i="3"/>
  <c r="X23" i="3"/>
  <c r="X436" i="3"/>
  <c r="X85" i="1"/>
  <c r="X448" i="3"/>
  <c r="X103" i="3"/>
  <c r="X73" i="3"/>
  <c r="X311" i="3"/>
  <c r="X367" i="3"/>
  <c r="X296" i="3"/>
  <c r="X155" i="3"/>
  <c r="X37" i="3"/>
  <c r="AD357" i="3"/>
  <c r="X307" i="3"/>
  <c r="X241" i="3"/>
  <c r="X156" i="3"/>
  <c r="X212" i="3"/>
  <c r="X319" i="3"/>
  <c r="X76" i="3"/>
  <c r="X116" i="3"/>
  <c r="X306" i="3"/>
  <c r="X303" i="6"/>
  <c r="AA303" i="6" s="1"/>
  <c r="AB303" i="6" s="1"/>
  <c r="X225" i="6"/>
  <c r="AA225" i="6" s="1"/>
  <c r="AB225" i="6" s="1"/>
  <c r="AU12" i="6"/>
  <c r="AV12" i="6" s="1"/>
  <c r="AH12" i="6" s="1"/>
  <c r="AG12" i="6"/>
  <c r="AF12" i="6"/>
  <c r="AE12" i="6"/>
  <c r="Z12" i="6"/>
  <c r="Z30" i="3"/>
  <c r="Z294" i="3"/>
  <c r="X238" i="6"/>
  <c r="AA238" i="6" s="1"/>
  <c r="AB238" i="6" s="1"/>
  <c r="X280" i="6"/>
  <c r="AA280" i="6" s="1"/>
  <c r="AB280" i="6" s="1"/>
  <c r="Z25" i="3"/>
  <c r="X198" i="6"/>
  <c r="X9" i="3"/>
  <c r="X169" i="3"/>
  <c r="X129" i="3"/>
  <c r="X416" i="3"/>
  <c r="X28" i="4"/>
  <c r="X210" i="3"/>
  <c r="X96" i="3"/>
  <c r="X373" i="3"/>
  <c r="X275" i="3"/>
  <c r="X295" i="3"/>
  <c r="X251" i="3"/>
  <c r="AA251" i="3" s="1"/>
  <c r="X54" i="3"/>
  <c r="AA54" i="3" s="1"/>
  <c r="X381" i="3"/>
  <c r="X11" i="1"/>
  <c r="X22" i="1"/>
  <c r="X27" i="1"/>
  <c r="X47" i="1"/>
  <c r="X9" i="1"/>
  <c r="X28" i="1"/>
  <c r="X10" i="1"/>
  <c r="X15" i="1"/>
  <c r="X17" i="1"/>
  <c r="X312" i="6"/>
  <c r="AA312" i="6" s="1"/>
  <c r="AB312" i="6" s="1"/>
  <c r="X290" i="6"/>
  <c r="AF290" i="6"/>
  <c r="AJ290" i="6" s="1"/>
  <c r="X91" i="6"/>
  <c r="X104" i="6"/>
  <c r="AK21" i="6"/>
  <c r="Y21" i="6" s="1"/>
  <c r="AA21" i="6" s="1"/>
  <c r="AB21" i="6" s="1"/>
  <c r="N21" i="6" s="1"/>
  <c r="P21" i="6" s="1"/>
  <c r="Q21" i="6" s="1"/>
  <c r="X147" i="6"/>
  <c r="X112" i="6"/>
  <c r="X85" i="6"/>
  <c r="X31" i="6"/>
  <c r="X45" i="3"/>
  <c r="X30" i="3"/>
  <c r="X294" i="3"/>
  <c r="X25" i="3"/>
  <c r="X30" i="4"/>
  <c r="X142" i="3"/>
  <c r="X191" i="3"/>
  <c r="X200" i="3"/>
  <c r="X430" i="3"/>
  <c r="X303" i="3"/>
  <c r="X137" i="3"/>
  <c r="X384" i="3"/>
  <c r="N20" i="5" l="1"/>
  <c r="P20" i="5" s="1"/>
  <c r="Q20" i="5" s="1"/>
  <c r="D20" i="5" s="1"/>
  <c r="N40" i="5"/>
  <c r="P40" i="5" s="1"/>
  <c r="Q40" i="5" s="1"/>
  <c r="D40" i="5" s="1"/>
  <c r="N12" i="5"/>
  <c r="P12" i="5" s="1"/>
  <c r="Q12" i="5" s="1"/>
  <c r="D12" i="5" s="1"/>
  <c r="N27" i="2"/>
  <c r="P27" i="2" s="1"/>
  <c r="Q27" i="2" s="1"/>
  <c r="D27" i="2" s="1"/>
  <c r="N31" i="2"/>
  <c r="P31" i="2" s="1"/>
  <c r="Q31" i="2" s="1"/>
  <c r="D31" i="2" s="1"/>
  <c r="N42" i="2"/>
  <c r="P42" i="2" s="1"/>
  <c r="Q42" i="2" s="1"/>
  <c r="D42" i="2" s="1"/>
  <c r="N10" i="2"/>
  <c r="P10" i="2" s="1"/>
  <c r="Q10" i="2" s="1"/>
  <c r="D10" i="2" s="1"/>
  <c r="N22" i="2"/>
  <c r="P22" i="2" s="1"/>
  <c r="Q22" i="2" s="1"/>
  <c r="D22" i="2" s="1"/>
  <c r="N17" i="2"/>
  <c r="P17" i="2" s="1"/>
  <c r="Q17" i="2" s="1"/>
  <c r="D17" i="2" s="1"/>
  <c r="N20" i="2"/>
  <c r="P20" i="2" s="1"/>
  <c r="Q20" i="2" s="1"/>
  <c r="D20" i="2" s="1"/>
  <c r="N23" i="2"/>
  <c r="P23" i="2" s="1"/>
  <c r="Q23" i="2" s="1"/>
  <c r="D23" i="2" s="1"/>
  <c r="N43" i="2"/>
  <c r="P43" i="2" s="1"/>
  <c r="Q43" i="2" s="1"/>
  <c r="D43" i="2" s="1"/>
  <c r="N40" i="2"/>
  <c r="P40" i="2" s="1"/>
  <c r="Q40" i="2" s="1"/>
  <c r="D40" i="2" s="1"/>
  <c r="N19" i="2"/>
  <c r="P19" i="2" s="1"/>
  <c r="Q19" i="2" s="1"/>
  <c r="D19" i="2" s="1"/>
  <c r="N13" i="2"/>
  <c r="P13" i="2" s="1"/>
  <c r="Q13" i="2" s="1"/>
  <c r="D13" i="2" s="1"/>
  <c r="N14" i="2"/>
  <c r="P14" i="2" s="1"/>
  <c r="Q14" i="2" s="1"/>
  <c r="D14" i="2" s="1"/>
  <c r="N45" i="2"/>
  <c r="P45" i="2" s="1"/>
  <c r="Q45" i="2" s="1"/>
  <c r="D45" i="2" s="1"/>
  <c r="N141" i="6"/>
  <c r="P141" i="6" s="1"/>
  <c r="Q141" i="6" s="1"/>
  <c r="D141" i="6" s="1"/>
  <c r="N189" i="6"/>
  <c r="P189" i="6" s="1"/>
  <c r="Q189" i="6" s="1"/>
  <c r="D189" i="6" s="1"/>
  <c r="N188" i="6"/>
  <c r="P188" i="6" s="1"/>
  <c r="Q188" i="6" s="1"/>
  <c r="D188" i="6" s="1"/>
  <c r="N225" i="6"/>
  <c r="P225" i="6" s="1"/>
  <c r="Q225" i="6" s="1"/>
  <c r="D225" i="6" s="1"/>
  <c r="N218" i="6"/>
  <c r="P218" i="6" s="1"/>
  <c r="Q218" i="6" s="1"/>
  <c r="D218" i="6" s="1"/>
  <c r="N171" i="6"/>
  <c r="P171" i="6" s="1"/>
  <c r="Q171" i="6" s="1"/>
  <c r="D171" i="6" s="1"/>
  <c r="N306" i="6"/>
  <c r="P306" i="6" s="1"/>
  <c r="Q306" i="6" s="1"/>
  <c r="D306" i="6" s="1"/>
  <c r="N34" i="6"/>
  <c r="P34" i="6" s="1"/>
  <c r="Q34" i="6" s="1"/>
  <c r="D34" i="6" s="1"/>
  <c r="N26" i="6"/>
  <c r="P26" i="6" s="1"/>
  <c r="Q26" i="6" s="1"/>
  <c r="D26" i="6" s="1"/>
  <c r="N80" i="6"/>
  <c r="P80" i="6" s="1"/>
  <c r="Q80" i="6" s="1"/>
  <c r="D80" i="6" s="1"/>
  <c r="N253" i="6"/>
  <c r="P253" i="6" s="1"/>
  <c r="Q253" i="6" s="1"/>
  <c r="D253" i="6" s="1"/>
  <c r="N208" i="6"/>
  <c r="P208" i="6" s="1"/>
  <c r="Q208" i="6" s="1"/>
  <c r="D208" i="6" s="1"/>
  <c r="N60" i="6"/>
  <c r="P60" i="6" s="1"/>
  <c r="Q60" i="6" s="1"/>
  <c r="D60" i="6" s="1"/>
  <c r="N153" i="6"/>
  <c r="P153" i="6" s="1"/>
  <c r="Q153" i="6" s="1"/>
  <c r="D153" i="6" s="1"/>
  <c r="N312" i="6"/>
  <c r="P312" i="6" s="1"/>
  <c r="Q312" i="6" s="1"/>
  <c r="D312" i="6" s="1"/>
  <c r="N154" i="6"/>
  <c r="P154" i="6" s="1"/>
  <c r="Q154" i="6" s="1"/>
  <c r="D154" i="6" s="1"/>
  <c r="N303" i="6"/>
  <c r="P303" i="6" s="1"/>
  <c r="Q303" i="6" s="1"/>
  <c r="D303" i="6" s="1"/>
  <c r="N134" i="6"/>
  <c r="P134" i="6" s="1"/>
  <c r="Q134" i="6" s="1"/>
  <c r="D134" i="6" s="1"/>
  <c r="N25" i="6"/>
  <c r="P25" i="6" s="1"/>
  <c r="Q25" i="6" s="1"/>
  <c r="D25" i="6" s="1"/>
  <c r="N280" i="6"/>
  <c r="P280" i="6" s="1"/>
  <c r="Q280" i="6" s="1"/>
  <c r="D280" i="6" s="1"/>
  <c r="N292" i="6"/>
  <c r="P292" i="6" s="1"/>
  <c r="Q292" i="6" s="1"/>
  <c r="D292" i="6" s="1"/>
  <c r="N238" i="6"/>
  <c r="P238" i="6" s="1"/>
  <c r="Q238" i="6" s="1"/>
  <c r="D238" i="6" s="1"/>
  <c r="N249" i="6"/>
  <c r="P249" i="6" s="1"/>
  <c r="Q249" i="6" s="1"/>
  <c r="D249" i="6" s="1"/>
  <c r="N114" i="6"/>
  <c r="P114" i="6" s="1"/>
  <c r="Q114" i="6" s="1"/>
  <c r="D114" i="6" s="1"/>
  <c r="N181" i="6"/>
  <c r="P181" i="6" s="1"/>
  <c r="Q181" i="6" s="1"/>
  <c r="D181" i="6" s="1"/>
  <c r="N41" i="6"/>
  <c r="P41" i="6" s="1"/>
  <c r="Q41" i="6" s="1"/>
  <c r="D41" i="6" s="1"/>
  <c r="N16" i="4"/>
  <c r="P16" i="4" s="1"/>
  <c r="Q16" i="4" s="1"/>
  <c r="D16" i="4" s="1"/>
  <c r="N46" i="4"/>
  <c r="P46" i="4" s="1"/>
  <c r="Q46" i="4" s="1"/>
  <c r="D46" i="4" s="1"/>
  <c r="N6" i="4"/>
  <c r="P6" i="4" s="1"/>
  <c r="Q6" i="4" s="1"/>
  <c r="D6" i="4" s="1"/>
  <c r="N22" i="4"/>
  <c r="P22" i="4" s="1"/>
  <c r="Q22" i="4" s="1"/>
  <c r="D22" i="4" s="1"/>
  <c r="N42" i="4"/>
  <c r="P42" i="4" s="1"/>
  <c r="Q42" i="4" s="1"/>
  <c r="D42" i="4" s="1"/>
  <c r="N25" i="4"/>
  <c r="P25" i="4" s="1"/>
  <c r="Q25" i="4" s="1"/>
  <c r="D25" i="4" s="1"/>
  <c r="N40" i="1"/>
  <c r="P40" i="1" s="1"/>
  <c r="Q40" i="1" s="1"/>
  <c r="D40" i="1" s="1"/>
  <c r="N173" i="1"/>
  <c r="P173" i="1" s="1"/>
  <c r="Q173" i="1" s="1"/>
  <c r="D173" i="1" s="1"/>
  <c r="N115" i="1"/>
  <c r="P115" i="1" s="1"/>
  <c r="Q115" i="1" s="1"/>
  <c r="D115" i="1" s="1"/>
  <c r="N124" i="1"/>
  <c r="P124" i="1" s="1"/>
  <c r="Q124" i="1" s="1"/>
  <c r="D124" i="1" s="1"/>
  <c r="N53" i="1"/>
  <c r="P53" i="1" s="1"/>
  <c r="Q53" i="1" s="1"/>
  <c r="D53" i="1" s="1"/>
  <c r="N161" i="1"/>
  <c r="P161" i="1" s="1"/>
  <c r="Q161" i="1" s="1"/>
  <c r="D161" i="1" s="1"/>
  <c r="N7" i="1"/>
  <c r="P7" i="1" s="1"/>
  <c r="Q7" i="1" s="1"/>
  <c r="D7" i="1" s="1"/>
  <c r="N95" i="1"/>
  <c r="P95" i="1" s="1"/>
  <c r="Q95" i="1" s="1"/>
  <c r="D95" i="1" s="1"/>
  <c r="N36" i="1"/>
  <c r="P36" i="1" s="1"/>
  <c r="Q36" i="1" s="1"/>
  <c r="D36" i="1" s="1"/>
  <c r="N48" i="1"/>
  <c r="P48" i="1" s="1"/>
  <c r="Q48" i="1" s="1"/>
  <c r="D48" i="1" s="1"/>
  <c r="N132" i="1"/>
  <c r="P132" i="1" s="1"/>
  <c r="Q132" i="1" s="1"/>
  <c r="D132" i="1" s="1"/>
  <c r="N26" i="1"/>
  <c r="P26" i="1" s="1"/>
  <c r="Q26" i="1" s="1"/>
  <c r="D26" i="1" s="1"/>
  <c r="N279" i="1"/>
  <c r="P279" i="1" s="1"/>
  <c r="Q279" i="1" s="1"/>
  <c r="D279" i="1" s="1"/>
  <c r="N274" i="1"/>
  <c r="P274" i="1" s="1"/>
  <c r="Q274" i="1" s="1"/>
  <c r="D274" i="1" s="1"/>
  <c r="N189" i="1"/>
  <c r="P189" i="1" s="1"/>
  <c r="Q189" i="1" s="1"/>
  <c r="D189" i="1" s="1"/>
  <c r="N195" i="1"/>
  <c r="P195" i="1" s="1"/>
  <c r="Q195" i="1" s="1"/>
  <c r="D195" i="1" s="1"/>
  <c r="N198" i="1"/>
  <c r="P198" i="1" s="1"/>
  <c r="Q198" i="1" s="1"/>
  <c r="D198" i="1" s="1"/>
  <c r="N145" i="1"/>
  <c r="P145" i="1" s="1"/>
  <c r="Q145" i="1" s="1"/>
  <c r="D145" i="1" s="1"/>
  <c r="N68" i="1"/>
  <c r="P68" i="1" s="1"/>
  <c r="Q68" i="1" s="1"/>
  <c r="D68" i="1" s="1"/>
  <c r="N88" i="1"/>
  <c r="P88" i="1" s="1"/>
  <c r="Q88" i="1" s="1"/>
  <c r="D88" i="1" s="1"/>
  <c r="N87" i="1"/>
  <c r="P87" i="1" s="1"/>
  <c r="Q87" i="1" s="1"/>
  <c r="D87" i="1" s="1"/>
  <c r="N275" i="1"/>
  <c r="P275" i="1" s="1"/>
  <c r="Q275" i="1" s="1"/>
  <c r="D275" i="1" s="1"/>
  <c r="N73" i="1"/>
  <c r="P73" i="1" s="1"/>
  <c r="Q73" i="1" s="1"/>
  <c r="D73" i="1" s="1"/>
  <c r="N12" i="1"/>
  <c r="P12" i="1" s="1"/>
  <c r="Q12" i="1" s="1"/>
  <c r="D12" i="1" s="1"/>
  <c r="N143" i="1"/>
  <c r="P143" i="1" s="1"/>
  <c r="Q143" i="1" s="1"/>
  <c r="D143" i="1" s="1"/>
  <c r="N117" i="1"/>
  <c r="P117" i="1" s="1"/>
  <c r="Q117" i="1" s="1"/>
  <c r="D117" i="1" s="1"/>
  <c r="N66" i="1"/>
  <c r="P66" i="1" s="1"/>
  <c r="Q66" i="1" s="1"/>
  <c r="D66" i="1" s="1"/>
  <c r="N69" i="1"/>
  <c r="P69" i="1" s="1"/>
  <c r="Q69" i="1" s="1"/>
  <c r="D69" i="1" s="1"/>
  <c r="N220" i="1"/>
  <c r="P220" i="1" s="1"/>
  <c r="Q220" i="1" s="1"/>
  <c r="D220" i="1" s="1"/>
  <c r="N90" i="1"/>
  <c r="P90" i="1" s="1"/>
  <c r="Q90" i="1" s="1"/>
  <c r="D90" i="1" s="1"/>
  <c r="N131" i="1"/>
  <c r="P131" i="1" s="1"/>
  <c r="Q131" i="1" s="1"/>
  <c r="D131" i="1" s="1"/>
  <c r="N196" i="1"/>
  <c r="P196" i="1" s="1"/>
  <c r="Q196" i="1" s="1"/>
  <c r="D196" i="1" s="1"/>
  <c r="N99" i="1"/>
  <c r="P99" i="1" s="1"/>
  <c r="Q99" i="1" s="1"/>
  <c r="D99" i="1" s="1"/>
  <c r="N72" i="1"/>
  <c r="P72" i="1" s="1"/>
  <c r="Q72" i="1" s="1"/>
  <c r="D72" i="1" s="1"/>
  <c r="N33" i="1"/>
  <c r="P33" i="1" s="1"/>
  <c r="Q33" i="1" s="1"/>
  <c r="D33" i="1" s="1"/>
  <c r="N25" i="1"/>
  <c r="P25" i="1" s="1"/>
  <c r="Q25" i="1" s="1"/>
  <c r="D25" i="1" s="1"/>
  <c r="N42" i="1"/>
  <c r="P42" i="1" s="1"/>
  <c r="Q42" i="1" s="1"/>
  <c r="D42" i="1" s="1"/>
  <c r="N262" i="1"/>
  <c r="P262" i="1" s="1"/>
  <c r="Q262" i="1" s="1"/>
  <c r="D262" i="1" s="1"/>
  <c r="N108" i="1"/>
  <c r="P108" i="1" s="1"/>
  <c r="Q108" i="1" s="1"/>
  <c r="D108" i="1" s="1"/>
  <c r="N146" i="1"/>
  <c r="P146" i="1" s="1"/>
  <c r="Q146" i="1" s="1"/>
  <c r="D146" i="1" s="1"/>
  <c r="N174" i="1"/>
  <c r="P174" i="1" s="1"/>
  <c r="Q174" i="1" s="1"/>
  <c r="D174" i="1" s="1"/>
  <c r="N62" i="1"/>
  <c r="P62" i="1" s="1"/>
  <c r="Q62" i="1" s="1"/>
  <c r="D62" i="1" s="1"/>
  <c r="N18" i="1"/>
  <c r="P18" i="1" s="1"/>
  <c r="Q18" i="1" s="1"/>
  <c r="D18" i="1" s="1"/>
  <c r="N192" i="1"/>
  <c r="P192" i="1" s="1"/>
  <c r="Q192" i="1" s="1"/>
  <c r="D192" i="1" s="1"/>
  <c r="N163" i="1"/>
  <c r="P163" i="1" s="1"/>
  <c r="Q163" i="1" s="1"/>
  <c r="D163" i="1" s="1"/>
  <c r="N187" i="1"/>
  <c r="P187" i="1" s="1"/>
  <c r="Q187" i="1" s="1"/>
  <c r="D187" i="1" s="1"/>
  <c r="N139" i="1"/>
  <c r="P139" i="1" s="1"/>
  <c r="Q139" i="1" s="1"/>
  <c r="D139" i="1" s="1"/>
  <c r="N269" i="1"/>
  <c r="P269" i="1" s="1"/>
  <c r="Q269" i="1" s="1"/>
  <c r="D269" i="1" s="1"/>
  <c r="N214" i="1"/>
  <c r="P214" i="1" s="1"/>
  <c r="Q214" i="1" s="1"/>
  <c r="D214" i="1" s="1"/>
  <c r="N247" i="1"/>
  <c r="P247" i="1" s="1"/>
  <c r="Q247" i="1" s="1"/>
  <c r="D247" i="1" s="1"/>
  <c r="N46" i="1"/>
  <c r="P46" i="1" s="1"/>
  <c r="Q46" i="1" s="1"/>
  <c r="D46" i="1" s="1"/>
  <c r="N57" i="1"/>
  <c r="P57" i="1" s="1"/>
  <c r="Q57" i="1" s="1"/>
  <c r="D57" i="1" s="1"/>
  <c r="N164" i="1"/>
  <c r="P164" i="1" s="1"/>
  <c r="Q164" i="1" s="1"/>
  <c r="D164" i="1" s="1"/>
  <c r="N105" i="1"/>
  <c r="P105" i="1" s="1"/>
  <c r="Q105" i="1" s="1"/>
  <c r="D105" i="1" s="1"/>
  <c r="N59" i="1"/>
  <c r="P59" i="1" s="1"/>
  <c r="Q59" i="1" s="1"/>
  <c r="D59" i="1" s="1"/>
  <c r="N156" i="1"/>
  <c r="P156" i="1" s="1"/>
  <c r="Q156" i="1" s="1"/>
  <c r="D156" i="1" s="1"/>
  <c r="N52" i="1"/>
  <c r="P52" i="1" s="1"/>
  <c r="Q52" i="1" s="1"/>
  <c r="D52" i="1" s="1"/>
  <c r="N119" i="1"/>
  <c r="P119" i="1" s="1"/>
  <c r="Q119" i="1" s="1"/>
  <c r="D119" i="1" s="1"/>
  <c r="N253" i="1"/>
  <c r="P253" i="1" s="1"/>
  <c r="Q253" i="1" s="1"/>
  <c r="D253" i="1" s="1"/>
  <c r="N194" i="1"/>
  <c r="P194" i="1" s="1"/>
  <c r="Q194" i="1" s="1"/>
  <c r="D194" i="1" s="1"/>
  <c r="N232" i="1"/>
  <c r="P232" i="1" s="1"/>
  <c r="Q232" i="1" s="1"/>
  <c r="D232" i="1" s="1"/>
  <c r="N126" i="1"/>
  <c r="P126" i="1" s="1"/>
  <c r="Q126" i="1" s="1"/>
  <c r="D126" i="1" s="1"/>
  <c r="N112" i="1"/>
  <c r="P112" i="1" s="1"/>
  <c r="Q112" i="1" s="1"/>
  <c r="D112" i="1" s="1"/>
  <c r="N166" i="1"/>
  <c r="P166" i="1" s="1"/>
  <c r="Q166" i="1" s="1"/>
  <c r="D166" i="1" s="1"/>
  <c r="N157" i="1"/>
  <c r="P157" i="1" s="1"/>
  <c r="Q157" i="1" s="1"/>
  <c r="D157" i="1" s="1"/>
  <c r="N216" i="1"/>
  <c r="P216" i="1" s="1"/>
  <c r="Q216" i="1" s="1"/>
  <c r="D216" i="1" s="1"/>
  <c r="N231" i="1"/>
  <c r="P231" i="1" s="1"/>
  <c r="Q231" i="1" s="1"/>
  <c r="D231" i="1" s="1"/>
  <c r="N249" i="1"/>
  <c r="P249" i="1" s="1"/>
  <c r="Q249" i="1" s="1"/>
  <c r="D249" i="1" s="1"/>
  <c r="N219" i="1"/>
  <c r="P219" i="1" s="1"/>
  <c r="Q219" i="1" s="1"/>
  <c r="D219" i="1" s="1"/>
  <c r="N222" i="1"/>
  <c r="P222" i="1" s="1"/>
  <c r="Q222" i="1" s="1"/>
  <c r="D222" i="1" s="1"/>
  <c r="N172" i="1"/>
  <c r="P172" i="1" s="1"/>
  <c r="Q172" i="1" s="1"/>
  <c r="D172" i="1" s="1"/>
  <c r="N155" i="1"/>
  <c r="P155" i="1" s="1"/>
  <c r="Q155" i="1" s="1"/>
  <c r="D155" i="1" s="1"/>
  <c r="N263" i="1"/>
  <c r="P263" i="1" s="1"/>
  <c r="Q263" i="1" s="1"/>
  <c r="D263" i="1" s="1"/>
  <c r="N111" i="1"/>
  <c r="P111" i="1" s="1"/>
  <c r="Q111" i="1" s="1"/>
  <c r="D111" i="1" s="1"/>
  <c r="N45" i="1"/>
  <c r="P45" i="1" s="1"/>
  <c r="Q45" i="1" s="1"/>
  <c r="D45" i="1" s="1"/>
  <c r="N106" i="1"/>
  <c r="P106" i="1" s="1"/>
  <c r="Q106" i="1" s="1"/>
  <c r="D106" i="1" s="1"/>
  <c r="Y23" i="4"/>
  <c r="AA23" i="4" s="1"/>
  <c r="AB23" i="4" s="1"/>
  <c r="Y43" i="4"/>
  <c r="AA43" i="4" s="1"/>
  <c r="AB43" i="4" s="1"/>
  <c r="AA73" i="3"/>
  <c r="AB73" i="3" s="1"/>
  <c r="N73" i="3" s="1"/>
  <c r="P73" i="3" s="1"/>
  <c r="Q73" i="3" s="1"/>
  <c r="D73" i="3" s="1"/>
  <c r="Y75" i="3"/>
  <c r="AA75" i="3" s="1"/>
  <c r="AB75" i="3" s="1"/>
  <c r="N75" i="3" s="1"/>
  <c r="P75" i="3" s="1"/>
  <c r="Q75" i="3" s="1"/>
  <c r="D75" i="3" s="1"/>
  <c r="AA448" i="3"/>
  <c r="AB448" i="3" s="1"/>
  <c r="N448" i="3" s="1"/>
  <c r="P448" i="3" s="1"/>
  <c r="Q448" i="3" s="1"/>
  <c r="D448" i="3" s="1"/>
  <c r="Y79" i="3"/>
  <c r="AA79" i="3" s="1"/>
  <c r="AB79" i="3" s="1"/>
  <c r="N79" i="3" s="1"/>
  <c r="P79" i="3" s="1"/>
  <c r="Q79" i="3" s="1"/>
  <c r="D79" i="3" s="1"/>
  <c r="AA210" i="3"/>
  <c r="AB210" i="3" s="1"/>
  <c r="N210" i="3" s="1"/>
  <c r="P210" i="3" s="1"/>
  <c r="Q210" i="3" s="1"/>
  <c r="D210" i="3" s="1"/>
  <c r="AA373" i="3"/>
  <c r="AB373" i="3" s="1"/>
  <c r="N373" i="3" s="1"/>
  <c r="P373" i="3" s="1"/>
  <c r="Q373" i="3" s="1"/>
  <c r="D373" i="3" s="1"/>
  <c r="Y102" i="3"/>
  <c r="AA102" i="3" s="1"/>
  <c r="AB102" i="3" s="1"/>
  <c r="N102" i="3" s="1"/>
  <c r="P102" i="3" s="1"/>
  <c r="Q102" i="3" s="1"/>
  <c r="D102" i="3" s="1"/>
  <c r="Y145" i="3"/>
  <c r="AA145" i="3" s="1"/>
  <c r="AB145" i="3" s="1"/>
  <c r="N145" i="3" s="1"/>
  <c r="P145" i="3" s="1"/>
  <c r="Q145" i="3" s="1"/>
  <c r="D145" i="3" s="1"/>
  <c r="Y339" i="3"/>
  <c r="AA339" i="3" s="1"/>
  <c r="AB339" i="3" s="1"/>
  <c r="N339" i="3" s="1"/>
  <c r="P339" i="3" s="1"/>
  <c r="Q339" i="3" s="1"/>
  <c r="D339" i="3" s="1"/>
  <c r="Y235" i="3"/>
  <c r="AA235" i="3" s="1"/>
  <c r="AB235" i="3" s="1"/>
  <c r="N235" i="3" s="1"/>
  <c r="P235" i="3" s="1"/>
  <c r="Q235" i="3" s="1"/>
  <c r="D235" i="3" s="1"/>
  <c r="Y91" i="3"/>
  <c r="AA91" i="3" s="1"/>
  <c r="AB91" i="3" s="1"/>
  <c r="N91" i="3" s="1"/>
  <c r="P91" i="3" s="1"/>
  <c r="Q91" i="3" s="1"/>
  <c r="D91" i="3" s="1"/>
  <c r="Y236" i="3"/>
  <c r="AA236" i="3" s="1"/>
  <c r="AB236" i="3" s="1"/>
  <c r="N236" i="3" s="1"/>
  <c r="P236" i="3" s="1"/>
  <c r="Q236" i="3" s="1"/>
  <c r="D236" i="3" s="1"/>
  <c r="AA96" i="3"/>
  <c r="AB96" i="3" s="1"/>
  <c r="N96" i="3" s="1"/>
  <c r="P96" i="3" s="1"/>
  <c r="Q96" i="3" s="1"/>
  <c r="D96" i="3" s="1"/>
  <c r="Y269" i="3"/>
  <c r="AA269" i="3" s="1"/>
  <c r="AB269" i="3" s="1"/>
  <c r="N269" i="3" s="1"/>
  <c r="P269" i="3" s="1"/>
  <c r="Q269" i="3" s="1"/>
  <c r="D269" i="3" s="1"/>
  <c r="Y17" i="3"/>
  <c r="AA17" i="3" s="1"/>
  <c r="AB17" i="3" s="1"/>
  <c r="N17" i="3" s="1"/>
  <c r="P17" i="3" s="1"/>
  <c r="Q17" i="3" s="1"/>
  <c r="D17" i="3" s="1"/>
  <c r="Y312" i="3"/>
  <c r="AA312" i="3" s="1"/>
  <c r="AB312" i="3" s="1"/>
  <c r="N312" i="3" s="1"/>
  <c r="P312" i="3" s="1"/>
  <c r="Q312" i="3" s="1"/>
  <c r="D312" i="3" s="1"/>
  <c r="Y207" i="3"/>
  <c r="AA207" i="3" s="1"/>
  <c r="AB207" i="3" s="1"/>
  <c r="N207" i="3" s="1"/>
  <c r="P207" i="3" s="1"/>
  <c r="Q207" i="3" s="1"/>
  <c r="D207" i="3" s="1"/>
  <c r="Y19" i="3"/>
  <c r="AA19" i="3" s="1"/>
  <c r="AB19" i="3" s="1"/>
  <c r="N19" i="3" s="1"/>
  <c r="P19" i="3" s="1"/>
  <c r="Q19" i="3" s="1"/>
  <c r="D19" i="3" s="1"/>
  <c r="Y300" i="3"/>
  <c r="AA300" i="3" s="1"/>
  <c r="AB300" i="3" s="1"/>
  <c r="N300" i="3" s="1"/>
  <c r="P300" i="3" s="1"/>
  <c r="Q300" i="3" s="1"/>
  <c r="D300" i="3" s="1"/>
  <c r="Y93" i="3"/>
  <c r="AA93" i="3" s="1"/>
  <c r="AB93" i="3" s="1"/>
  <c r="N93" i="3" s="1"/>
  <c r="P93" i="3" s="1"/>
  <c r="Q93" i="3" s="1"/>
  <c r="D93" i="3" s="1"/>
  <c r="Y407" i="3"/>
  <c r="AA407" i="3" s="1"/>
  <c r="AB407" i="3" s="1"/>
  <c r="N407" i="3" s="1"/>
  <c r="P407" i="3" s="1"/>
  <c r="Q407" i="3" s="1"/>
  <c r="D407" i="3" s="1"/>
  <c r="AA37" i="3"/>
  <c r="AB37" i="3" s="1"/>
  <c r="N37" i="3" s="1"/>
  <c r="P37" i="3" s="1"/>
  <c r="Q37" i="3" s="1"/>
  <c r="D37" i="3" s="1"/>
  <c r="Y372" i="3"/>
  <c r="AA372" i="3" s="1"/>
  <c r="AB372" i="3" s="1"/>
  <c r="N372" i="3" s="1"/>
  <c r="P372" i="3" s="1"/>
  <c r="Q372" i="3" s="1"/>
  <c r="D372" i="3" s="1"/>
  <c r="Y438" i="3"/>
  <c r="AA438" i="3" s="1"/>
  <c r="AB438" i="3" s="1"/>
  <c r="N438" i="3" s="1"/>
  <c r="P438" i="3" s="1"/>
  <c r="Q438" i="3" s="1"/>
  <c r="D438" i="3" s="1"/>
  <c r="Y309" i="3"/>
  <c r="AA309" i="3" s="1"/>
  <c r="AB309" i="3" s="1"/>
  <c r="N309" i="3" s="1"/>
  <c r="P309" i="3" s="1"/>
  <c r="Q309" i="3" s="1"/>
  <c r="D309" i="3" s="1"/>
  <c r="AA155" i="3"/>
  <c r="AB155" i="3" s="1"/>
  <c r="N155" i="3" s="1"/>
  <c r="P155" i="3" s="1"/>
  <c r="Q155" i="3" s="1"/>
  <c r="D155" i="3" s="1"/>
  <c r="Y15" i="3"/>
  <c r="AA15" i="3" s="1"/>
  <c r="AB15" i="3" s="1"/>
  <c r="N15" i="3" s="1"/>
  <c r="P15" i="3" s="1"/>
  <c r="Q15" i="3" s="1"/>
  <c r="D15" i="3" s="1"/>
  <c r="AB54" i="3"/>
  <c r="N54" i="3" s="1"/>
  <c r="P54" i="3" s="1"/>
  <c r="Q54" i="3" s="1"/>
  <c r="D54" i="3" s="1"/>
  <c r="AA296" i="3"/>
  <c r="AB296" i="3" s="1"/>
  <c r="N296" i="3" s="1"/>
  <c r="P296" i="3" s="1"/>
  <c r="Q296" i="3" s="1"/>
  <c r="D296" i="3" s="1"/>
  <c r="Y28" i="3"/>
  <c r="AA28" i="3" s="1"/>
  <c r="AB28" i="3" s="1"/>
  <c r="N28" i="3" s="1"/>
  <c r="P28" i="3" s="1"/>
  <c r="Q28" i="3" s="1"/>
  <c r="D28" i="3" s="1"/>
  <c r="Y455" i="3"/>
  <c r="AA455" i="3" s="1"/>
  <c r="AB455" i="3" s="1"/>
  <c r="N455" i="3" s="1"/>
  <c r="P455" i="3" s="1"/>
  <c r="Q455" i="3" s="1"/>
  <c r="D455" i="3" s="1"/>
  <c r="AA137" i="3"/>
  <c r="AB137" i="3" s="1"/>
  <c r="N137" i="3" s="1"/>
  <c r="P137" i="3" s="1"/>
  <c r="Q137" i="3" s="1"/>
  <c r="D137" i="3" s="1"/>
  <c r="AA103" i="3"/>
  <c r="AB103" i="3" s="1"/>
  <c r="N103" i="3" s="1"/>
  <c r="P103" i="3" s="1"/>
  <c r="Q103" i="3" s="1"/>
  <c r="D103" i="3" s="1"/>
  <c r="Y50" i="3"/>
  <c r="AA50" i="3" s="1"/>
  <c r="AB50" i="3" s="1"/>
  <c r="N50" i="3" s="1"/>
  <c r="P50" i="3" s="1"/>
  <c r="Q50" i="3" s="1"/>
  <c r="D50" i="3" s="1"/>
  <c r="AB251" i="3"/>
  <c r="N251" i="3" s="1"/>
  <c r="P251" i="3" s="1"/>
  <c r="Q251" i="3" s="1"/>
  <c r="D251" i="3" s="1"/>
  <c r="AA367" i="3"/>
  <c r="AB367" i="3" s="1"/>
  <c r="N367" i="3" s="1"/>
  <c r="P367" i="3" s="1"/>
  <c r="Q367" i="3" s="1"/>
  <c r="D367" i="3" s="1"/>
  <c r="Y32" i="3"/>
  <c r="AA32" i="3" s="1"/>
  <c r="AB32" i="3" s="1"/>
  <c r="N32" i="3" s="1"/>
  <c r="P32" i="3" s="1"/>
  <c r="Q32" i="3" s="1"/>
  <c r="D32" i="3" s="1"/>
  <c r="Y152" i="3"/>
  <c r="AA152" i="3" s="1"/>
  <c r="AB152" i="3" s="1"/>
  <c r="N152" i="3" s="1"/>
  <c r="P152" i="3" s="1"/>
  <c r="Q152" i="3" s="1"/>
  <c r="D152" i="3" s="1"/>
  <c r="Y67" i="3"/>
  <c r="AA67" i="3" s="1"/>
  <c r="AB67" i="3" s="1"/>
  <c r="N67" i="3" s="1"/>
  <c r="P67" i="3" s="1"/>
  <c r="Q67" i="3" s="1"/>
  <c r="D67" i="3" s="1"/>
  <c r="Y44" i="3"/>
  <c r="AA44" i="3" s="1"/>
  <c r="AB44" i="3" s="1"/>
  <c r="N44" i="3" s="1"/>
  <c r="P44" i="3" s="1"/>
  <c r="Q44" i="3" s="1"/>
  <c r="D44" i="3" s="1"/>
  <c r="Y154" i="3"/>
  <c r="AA154" i="3" s="1"/>
  <c r="AB154" i="3" s="1"/>
  <c r="N154" i="3" s="1"/>
  <c r="P154" i="3" s="1"/>
  <c r="Q154" i="3" s="1"/>
  <c r="D154" i="3" s="1"/>
  <c r="Y362" i="3"/>
  <c r="AA362" i="3" s="1"/>
  <c r="AB362" i="3" s="1"/>
  <c r="N362" i="3" s="1"/>
  <c r="P362" i="3" s="1"/>
  <c r="Q362" i="3" s="1"/>
  <c r="D362" i="3" s="1"/>
  <c r="Y429" i="3"/>
  <c r="AA429" i="3" s="1"/>
  <c r="AB429" i="3" s="1"/>
  <c r="N429" i="3" s="1"/>
  <c r="P429" i="3" s="1"/>
  <c r="Q429" i="3" s="1"/>
  <c r="D429" i="3" s="1"/>
  <c r="AA311" i="3"/>
  <c r="AB311" i="3" s="1"/>
  <c r="N311" i="3" s="1"/>
  <c r="P311" i="3" s="1"/>
  <c r="Q311" i="3" s="1"/>
  <c r="D311" i="3" s="1"/>
  <c r="AA378" i="3"/>
  <c r="AB378" i="3" s="1"/>
  <c r="N378" i="3" s="1"/>
  <c r="P378" i="3" s="1"/>
  <c r="Q378" i="3" s="1"/>
  <c r="D378" i="3" s="1"/>
  <c r="Y34" i="3"/>
  <c r="AA34" i="3" s="1"/>
  <c r="AB34" i="3" s="1"/>
  <c r="N34" i="3" s="1"/>
  <c r="P34" i="3" s="1"/>
  <c r="Q34" i="3" s="1"/>
  <c r="D34" i="3" s="1"/>
  <c r="AA28" i="2"/>
  <c r="AB28" i="2" s="1"/>
  <c r="AJ207" i="1"/>
  <c r="AK207" i="1" s="1"/>
  <c r="Y207" i="1" s="1"/>
  <c r="AA207" i="1" s="1"/>
  <c r="AB207" i="1" s="1"/>
  <c r="AA85" i="1"/>
  <c r="AB85" i="1" s="1"/>
  <c r="AA261" i="1"/>
  <c r="AB261" i="1" s="1"/>
  <c r="AB133" i="1"/>
  <c r="AB86" i="1"/>
  <c r="AB65" i="1"/>
  <c r="Y254" i="1"/>
  <c r="AA254" i="1" s="1"/>
  <c r="AB254" i="1" s="1"/>
  <c r="Y211" i="1"/>
  <c r="AA211" i="1" s="1"/>
  <c r="AB211" i="1" s="1"/>
  <c r="Y8" i="1"/>
  <c r="AA8" i="1" s="1"/>
  <c r="AB8" i="1" s="1"/>
  <c r="Y97" i="1"/>
  <c r="AA97" i="1" s="1"/>
  <c r="AB97" i="1" s="1"/>
  <c r="Y130" i="1"/>
  <c r="AA130" i="1" s="1"/>
  <c r="AB130" i="1" s="1"/>
  <c r="AB7" i="3"/>
  <c r="N7" i="3" s="1"/>
  <c r="P7" i="3" s="1"/>
  <c r="Q7" i="3" s="1"/>
  <c r="D7" i="3" s="1"/>
  <c r="AJ357" i="3"/>
  <c r="AK357" i="3" s="1"/>
  <c r="AK113" i="6"/>
  <c r="Y113" i="6" s="1"/>
  <c r="AA113" i="6" s="1"/>
  <c r="AB113" i="6" s="1"/>
  <c r="AK120" i="6"/>
  <c r="Y120" i="6" s="1"/>
  <c r="AA120" i="6" s="1"/>
  <c r="AB120" i="6" s="1"/>
  <c r="AK138" i="6"/>
  <c r="Y138" i="6" s="1"/>
  <c r="AA138" i="6" s="1"/>
  <c r="AB138" i="6" s="1"/>
  <c r="AK127" i="6"/>
  <c r="Y127" i="6" s="1"/>
  <c r="AA127" i="6" s="1"/>
  <c r="AB127" i="6" s="1"/>
  <c r="AK77" i="6"/>
  <c r="Y77" i="6" s="1"/>
  <c r="AA77" i="6" s="1"/>
  <c r="AB77" i="6" s="1"/>
  <c r="AK159" i="6"/>
  <c r="Y159" i="6" s="1"/>
  <c r="AA159" i="6" s="1"/>
  <c r="AB159" i="6" s="1"/>
  <c r="AK27" i="6"/>
  <c r="Y27" i="6" s="1"/>
  <c r="AA27" i="6" s="1"/>
  <c r="AB27" i="6" s="1"/>
  <c r="AK137" i="6"/>
  <c r="Y137" i="6" s="1"/>
  <c r="AA137" i="6" s="1"/>
  <c r="AB137" i="6" s="1"/>
  <c r="AK47" i="6"/>
  <c r="Y47" i="6" s="1"/>
  <c r="AA47" i="6" s="1"/>
  <c r="AB47" i="6" s="1"/>
  <c r="AK251" i="6"/>
  <c r="Y251" i="6" s="1"/>
  <c r="AA251" i="6" s="1"/>
  <c r="AB251" i="6" s="1"/>
  <c r="AK51" i="6"/>
  <c r="Y51" i="6" s="1"/>
  <c r="AA51" i="6" s="1"/>
  <c r="AB51" i="6" s="1"/>
  <c r="AK268" i="6"/>
  <c r="Y268" i="6" s="1"/>
  <c r="AA268" i="6" s="1"/>
  <c r="AB268" i="6" s="1"/>
  <c r="AK107" i="6"/>
  <c r="Y107" i="6" s="1"/>
  <c r="AA107" i="6" s="1"/>
  <c r="AB107" i="6" s="1"/>
  <c r="AK30" i="6"/>
  <c r="Y30" i="6" s="1"/>
  <c r="AA30" i="6" s="1"/>
  <c r="AB30" i="6" s="1"/>
  <c r="AK242" i="6"/>
  <c r="Y242" i="6" s="1"/>
  <c r="AA242" i="6" s="1"/>
  <c r="AB242" i="6" s="1"/>
  <c r="AK63" i="6"/>
  <c r="Y63" i="6" s="1"/>
  <c r="AA63" i="6" s="1"/>
  <c r="AB63" i="6" s="1"/>
  <c r="AK295" i="6"/>
  <c r="Y295" i="6" s="1"/>
  <c r="AA295" i="6" s="1"/>
  <c r="AB295" i="6" s="1"/>
  <c r="AK111" i="6"/>
  <c r="Y111" i="6" s="1"/>
  <c r="AA111" i="6" s="1"/>
  <c r="AB111" i="6" s="1"/>
  <c r="AK202" i="6"/>
  <c r="Y202" i="6" s="1"/>
  <c r="AA202" i="6" s="1"/>
  <c r="AB202" i="6" s="1"/>
  <c r="AK55" i="6"/>
  <c r="Y55" i="6" s="1"/>
  <c r="AA55" i="6" s="1"/>
  <c r="AB55" i="6" s="1"/>
  <c r="AK281" i="6"/>
  <c r="Y281" i="6" s="1"/>
  <c r="AA281" i="6" s="1"/>
  <c r="AB281" i="6" s="1"/>
  <c r="AK93" i="6"/>
  <c r="Y93" i="6" s="1"/>
  <c r="AA93" i="6" s="1"/>
  <c r="AB93" i="6" s="1"/>
  <c r="AK276" i="6"/>
  <c r="Y276" i="6" s="1"/>
  <c r="AA276" i="6" s="1"/>
  <c r="AB276" i="6" s="1"/>
  <c r="AK219" i="6"/>
  <c r="Y219" i="6" s="1"/>
  <c r="AA219" i="6" s="1"/>
  <c r="AB219" i="6" s="1"/>
  <c r="AK20" i="6"/>
  <c r="Y20" i="6" s="1"/>
  <c r="AA20" i="6" s="1"/>
  <c r="AB20" i="6" s="1"/>
  <c r="AK19" i="6"/>
  <c r="Y19" i="6" s="1"/>
  <c r="AA19" i="6" s="1"/>
  <c r="AB19" i="6" s="1"/>
  <c r="AK96" i="6"/>
  <c r="Y96" i="6" s="1"/>
  <c r="AA96" i="6" s="1"/>
  <c r="AB96" i="6" s="1"/>
  <c r="AK11" i="6"/>
  <c r="Y11" i="6" s="1"/>
  <c r="AA11" i="6" s="1"/>
  <c r="AB11" i="6" s="1"/>
  <c r="AK290" i="6"/>
  <c r="Y290" i="6" s="1"/>
  <c r="AA290" i="6" s="1"/>
  <c r="AB290" i="6" s="1"/>
  <c r="AJ12" i="6"/>
  <c r="X150" i="3"/>
  <c r="X316" i="3"/>
  <c r="X134" i="3"/>
  <c r="X21" i="2"/>
  <c r="X8" i="2"/>
  <c r="X107" i="1"/>
  <c r="N28" i="2" l="1"/>
  <c r="P28" i="2" s="1"/>
  <c r="Q28" i="2" s="1"/>
  <c r="D28" i="2" s="1"/>
  <c r="N51" i="6"/>
  <c r="P51" i="6" s="1"/>
  <c r="Q51" i="6" s="1"/>
  <c r="D51" i="6" s="1"/>
  <c r="N19" i="6"/>
  <c r="P19" i="6" s="1"/>
  <c r="Q19" i="6" s="1"/>
  <c r="D19" i="6" s="1"/>
  <c r="N251" i="6"/>
  <c r="P251" i="6" s="1"/>
  <c r="Q251" i="6" s="1"/>
  <c r="D251" i="6" s="1"/>
  <c r="N47" i="6"/>
  <c r="P47" i="6" s="1"/>
  <c r="Q47" i="6" s="1"/>
  <c r="D47" i="6" s="1"/>
  <c r="N11" i="6"/>
  <c r="P11" i="6" s="1"/>
  <c r="Q11" i="6" s="1"/>
  <c r="D11" i="6" s="1"/>
  <c r="N276" i="6"/>
  <c r="P276" i="6" s="1"/>
  <c r="Q276" i="6" s="1"/>
  <c r="D276" i="6" s="1"/>
  <c r="N93" i="6"/>
  <c r="P93" i="6" s="1"/>
  <c r="Q93" i="6" s="1"/>
  <c r="D93" i="6" s="1"/>
  <c r="N138" i="6"/>
  <c r="P138" i="6" s="1"/>
  <c r="Q138" i="6" s="1"/>
  <c r="D138" i="6" s="1"/>
  <c r="N120" i="6"/>
  <c r="P120" i="6" s="1"/>
  <c r="Q120" i="6" s="1"/>
  <c r="D120" i="6" s="1"/>
  <c r="N268" i="6"/>
  <c r="P268" i="6" s="1"/>
  <c r="Q268" i="6" s="1"/>
  <c r="D268" i="6" s="1"/>
  <c r="N27" i="6"/>
  <c r="P27" i="6" s="1"/>
  <c r="Q27" i="6" s="1"/>
  <c r="D27" i="6" s="1"/>
  <c r="N159" i="6"/>
  <c r="P159" i="6" s="1"/>
  <c r="Q159" i="6" s="1"/>
  <c r="D159" i="6" s="1"/>
  <c r="N202" i="6"/>
  <c r="P202" i="6" s="1"/>
  <c r="Q202" i="6" s="1"/>
  <c r="D202" i="6" s="1"/>
  <c r="N295" i="6"/>
  <c r="P295" i="6" s="1"/>
  <c r="Q295" i="6" s="1"/>
  <c r="D295" i="6" s="1"/>
  <c r="N63" i="6"/>
  <c r="P63" i="6" s="1"/>
  <c r="Q63" i="6" s="1"/>
  <c r="D63" i="6" s="1"/>
  <c r="N96" i="6"/>
  <c r="P96" i="6" s="1"/>
  <c r="Q96" i="6" s="1"/>
  <c r="D96" i="6" s="1"/>
  <c r="N219" i="6"/>
  <c r="P219" i="6" s="1"/>
  <c r="Q219" i="6" s="1"/>
  <c r="D219" i="6" s="1"/>
  <c r="N77" i="6"/>
  <c r="P77" i="6" s="1"/>
  <c r="Q77" i="6" s="1"/>
  <c r="D77" i="6" s="1"/>
  <c r="N55" i="6"/>
  <c r="P55" i="6" s="1"/>
  <c r="Q55" i="6" s="1"/>
  <c r="D55" i="6" s="1"/>
  <c r="N113" i="6"/>
  <c r="P113" i="6" s="1"/>
  <c r="Q113" i="6" s="1"/>
  <c r="D113" i="6" s="1"/>
  <c r="N242" i="6"/>
  <c r="P242" i="6" s="1"/>
  <c r="Q242" i="6" s="1"/>
  <c r="D242" i="6" s="1"/>
  <c r="N20" i="6"/>
  <c r="P20" i="6" s="1"/>
  <c r="Q20" i="6" s="1"/>
  <c r="D20" i="6" s="1"/>
  <c r="N137" i="6"/>
  <c r="P137" i="6" s="1"/>
  <c r="Q137" i="6" s="1"/>
  <c r="D137" i="6" s="1"/>
  <c r="N281" i="6"/>
  <c r="P281" i="6" s="1"/>
  <c r="Q281" i="6" s="1"/>
  <c r="D281" i="6" s="1"/>
  <c r="N127" i="6"/>
  <c r="P127" i="6" s="1"/>
  <c r="Q127" i="6" s="1"/>
  <c r="D127" i="6" s="1"/>
  <c r="N111" i="6"/>
  <c r="P111" i="6" s="1"/>
  <c r="Q111" i="6" s="1"/>
  <c r="D111" i="6" s="1"/>
  <c r="N30" i="6"/>
  <c r="P30" i="6" s="1"/>
  <c r="Q30" i="6" s="1"/>
  <c r="D30" i="6" s="1"/>
  <c r="N290" i="6"/>
  <c r="P290" i="6" s="1"/>
  <c r="Q290" i="6" s="1"/>
  <c r="D290" i="6" s="1"/>
  <c r="N107" i="6"/>
  <c r="P107" i="6" s="1"/>
  <c r="Q107" i="6" s="1"/>
  <c r="D107" i="6" s="1"/>
  <c r="N43" i="4"/>
  <c r="P43" i="4" s="1"/>
  <c r="Q43" i="4" s="1"/>
  <c r="D43" i="4" s="1"/>
  <c r="N23" i="4"/>
  <c r="P23" i="4" s="1"/>
  <c r="Q23" i="4" s="1"/>
  <c r="D23" i="4" s="1"/>
  <c r="N65" i="1"/>
  <c r="P65" i="1" s="1"/>
  <c r="Q65" i="1" s="1"/>
  <c r="D65" i="1" s="1"/>
  <c r="N86" i="1"/>
  <c r="P86" i="1" s="1"/>
  <c r="Q86" i="1" s="1"/>
  <c r="D86" i="1" s="1"/>
  <c r="N85" i="1"/>
  <c r="P85" i="1" s="1"/>
  <c r="Q85" i="1" s="1"/>
  <c r="D85" i="1" s="1"/>
  <c r="N130" i="1"/>
  <c r="P130" i="1" s="1"/>
  <c r="Q130" i="1" s="1"/>
  <c r="D130" i="1" s="1"/>
  <c r="N97" i="1"/>
  <c r="P97" i="1" s="1"/>
  <c r="Q97" i="1" s="1"/>
  <c r="D97" i="1" s="1"/>
  <c r="N133" i="1"/>
  <c r="P133" i="1" s="1"/>
  <c r="Q133" i="1" s="1"/>
  <c r="N261" i="1"/>
  <c r="P261" i="1" s="1"/>
  <c r="Q261" i="1" s="1"/>
  <c r="D261" i="1" s="1"/>
  <c r="N207" i="1"/>
  <c r="P207" i="1" s="1"/>
  <c r="Q207" i="1" s="1"/>
  <c r="D207" i="1" s="1"/>
  <c r="N8" i="1"/>
  <c r="P8" i="1" s="1"/>
  <c r="Q8" i="1" s="1"/>
  <c r="D8" i="1" s="1"/>
  <c r="N254" i="1"/>
  <c r="P254" i="1" s="1"/>
  <c r="Q254" i="1" s="1"/>
  <c r="D254" i="1" s="1"/>
  <c r="N211" i="1"/>
  <c r="P211" i="1" s="1"/>
  <c r="Q211" i="1" s="1"/>
  <c r="D211" i="1" s="1"/>
  <c r="AA150" i="3"/>
  <c r="AB150" i="3" s="1"/>
  <c r="N150" i="3" s="1"/>
  <c r="P150" i="3" s="1"/>
  <c r="Q150" i="3" s="1"/>
  <c r="D150" i="3" s="1"/>
  <c r="AA316" i="3"/>
  <c r="AB316" i="3" s="1"/>
  <c r="N316" i="3" s="1"/>
  <c r="P316" i="3" s="1"/>
  <c r="Q316" i="3" s="1"/>
  <c r="D316" i="3" s="1"/>
  <c r="Y357" i="3"/>
  <c r="AA357" i="3" s="1"/>
  <c r="AB357" i="3" s="1"/>
  <c r="N357" i="3" s="1"/>
  <c r="P357" i="3" s="1"/>
  <c r="Q357" i="3" s="1"/>
  <c r="D357" i="3" s="1"/>
  <c r="AK12" i="6"/>
  <c r="Y12" i="6" s="1"/>
  <c r="AA12" i="6" s="1"/>
  <c r="AB12" i="6" s="1"/>
  <c r="X29" i="1"/>
  <c r="X19" i="1"/>
  <c r="X118" i="1"/>
  <c r="X182" i="1"/>
  <c r="X30" i="1"/>
  <c r="X171" i="1"/>
  <c r="X152" i="1"/>
  <c r="X15" i="2"/>
  <c r="X12" i="2"/>
  <c r="X18" i="2"/>
  <c r="X30" i="2"/>
  <c r="X266" i="1"/>
  <c r="X224" i="1"/>
  <c r="X190" i="1"/>
  <c r="X34" i="1"/>
  <c r="X169" i="1"/>
  <c r="X186" i="1"/>
  <c r="X113" i="1"/>
  <c r="X98" i="1"/>
  <c r="X197" i="1"/>
  <c r="X151" i="1"/>
  <c r="X135" i="1"/>
  <c r="X21" i="1"/>
  <c r="AU184" i="1"/>
  <c r="AV184" i="1" s="1"/>
  <c r="AU31" i="1"/>
  <c r="AV31" i="1" s="1"/>
  <c r="AU54" i="1"/>
  <c r="AV54" i="1" s="1"/>
  <c r="AU70" i="1"/>
  <c r="AV70" i="1" s="1"/>
  <c r="AU122" i="1"/>
  <c r="AV122" i="1" s="1"/>
  <c r="AU252" i="1"/>
  <c r="AV252" i="1" s="1"/>
  <c r="AU257" i="1"/>
  <c r="AV257" i="1" s="1"/>
  <c r="AU34" i="1"/>
  <c r="AV34" i="1" s="1"/>
  <c r="AU39" i="1"/>
  <c r="AV39" i="1" s="1"/>
  <c r="AU32" i="1"/>
  <c r="AV32" i="1" s="1"/>
  <c r="AU41" i="1"/>
  <c r="AV41" i="1" s="1"/>
  <c r="AU10" i="1"/>
  <c r="AV10" i="1" s="1"/>
  <c r="AU67" i="1"/>
  <c r="AV67" i="1" s="1"/>
  <c r="AU78" i="1"/>
  <c r="AV78" i="1" s="1"/>
  <c r="AU92" i="1"/>
  <c r="AV92" i="1" s="1"/>
  <c r="AU113" i="1"/>
  <c r="AV113" i="1" s="1"/>
  <c r="AU114" i="1"/>
  <c r="AV114" i="1" s="1"/>
  <c r="AU142" i="1"/>
  <c r="AV142" i="1" s="1"/>
  <c r="AU15" i="1"/>
  <c r="AV15" i="1" s="1"/>
  <c r="AU149" i="1"/>
  <c r="AV149" i="1" s="1"/>
  <c r="AU150" i="1"/>
  <c r="AV150" i="1" s="1"/>
  <c r="AU151" i="1"/>
  <c r="AV151" i="1" s="1"/>
  <c r="AU152" i="1"/>
  <c r="AV152" i="1" s="1"/>
  <c r="AU17" i="1"/>
  <c r="AV17" i="1" s="1"/>
  <c r="AU153" i="1"/>
  <c r="AV153" i="1" s="1"/>
  <c r="AU176" i="1"/>
  <c r="AV176" i="1" s="1"/>
  <c r="AU186" i="1"/>
  <c r="AV186" i="1" s="1"/>
  <c r="AU188" i="1"/>
  <c r="AV188" i="1" s="1"/>
  <c r="AU190" i="1"/>
  <c r="AV190" i="1" s="1"/>
  <c r="AU19" i="1"/>
  <c r="AV19" i="1" s="1"/>
  <c r="AU193" i="1"/>
  <c r="AV193" i="1" s="1"/>
  <c r="AU201" i="1"/>
  <c r="AV201" i="1" s="1"/>
  <c r="AU203" i="1"/>
  <c r="AV203" i="1" s="1"/>
  <c r="AU204" i="1"/>
  <c r="AV204" i="1" s="1"/>
  <c r="AU212" i="1"/>
  <c r="AV212" i="1" s="1"/>
  <c r="AU213" i="1"/>
  <c r="AV213" i="1" s="1"/>
  <c r="AU224" i="1"/>
  <c r="AV224" i="1" s="1"/>
  <c r="AU227" i="1"/>
  <c r="AV227" i="1" s="1"/>
  <c r="AU228" i="1"/>
  <c r="AV228" i="1" s="1"/>
  <c r="AU233" i="1"/>
  <c r="AV233" i="1" s="1"/>
  <c r="AU236" i="1"/>
  <c r="AV236" i="1" s="1"/>
  <c r="AU241" i="1"/>
  <c r="AV241" i="1" s="1"/>
  <c r="AU245" i="1"/>
  <c r="AV245" i="1" s="1"/>
  <c r="AU246" i="1"/>
  <c r="AV246" i="1" s="1"/>
  <c r="AU251" i="1"/>
  <c r="AV251" i="1" s="1"/>
  <c r="AU272" i="1"/>
  <c r="AV272" i="1" s="1"/>
  <c r="AU282" i="1"/>
  <c r="AV282" i="1" s="1"/>
  <c r="AF173" i="6"/>
  <c r="AE173" i="6"/>
  <c r="AD157" i="6"/>
  <c r="AJ157" i="6" s="1"/>
  <c r="AF155" i="6"/>
  <c r="AE155" i="6"/>
  <c r="AF43" i="6"/>
  <c r="AE43" i="6"/>
  <c r="AE24" i="6"/>
  <c r="AJ24" i="6" s="1"/>
  <c r="AN305" i="6"/>
  <c r="AU305" i="6" s="1"/>
  <c r="AV305" i="6" s="1"/>
  <c r="AH305" i="6" s="1"/>
  <c r="AJ305" i="6" s="1"/>
  <c r="AS296" i="6"/>
  <c r="AU296" i="6" s="1"/>
  <c r="AV296" i="6" s="1"/>
  <c r="AH296" i="6" s="1"/>
  <c r="AJ296" i="6" s="1"/>
  <c r="AT287" i="6"/>
  <c r="AN287" i="6"/>
  <c r="AU287" i="6" s="1"/>
  <c r="AR285" i="6"/>
  <c r="AU285" i="6" s="1"/>
  <c r="AV285" i="6" s="1"/>
  <c r="AH285" i="6" s="1"/>
  <c r="AG285" i="6"/>
  <c r="AU269" i="6"/>
  <c r="AV269" i="6" s="1"/>
  <c r="AH269" i="6" s="1"/>
  <c r="AJ269" i="6" s="1"/>
  <c r="AR265" i="6"/>
  <c r="AU265" i="6" s="1"/>
  <c r="AV265" i="6" s="1"/>
  <c r="AH265" i="6" s="1"/>
  <c r="AJ265" i="6" s="1"/>
  <c r="AR262" i="6"/>
  <c r="AU262" i="6" s="1"/>
  <c r="AV262" i="6" s="1"/>
  <c r="AH262" i="6" s="1"/>
  <c r="AG262" i="6"/>
  <c r="AF262" i="6"/>
  <c r="AE262" i="6"/>
  <c r="AU260" i="6"/>
  <c r="AV260" i="6" s="1"/>
  <c r="AH260" i="6" s="1"/>
  <c r="AJ260" i="6" s="1"/>
  <c r="AN259" i="6"/>
  <c r="AU259" i="6" s="1"/>
  <c r="AV259" i="6" s="1"/>
  <c r="AH259" i="6" s="1"/>
  <c r="AG259" i="6"/>
  <c r="AE259" i="6"/>
  <c r="AR245" i="6"/>
  <c r="AU245" i="6" s="1"/>
  <c r="AV245" i="6" s="1"/>
  <c r="AH245" i="6" s="1"/>
  <c r="AJ245" i="6" s="1"/>
  <c r="AT235" i="6"/>
  <c r="AS235" i="6"/>
  <c r="AR235" i="6"/>
  <c r="AG226" i="6"/>
  <c r="AE226" i="6"/>
  <c r="AM222" i="6"/>
  <c r="AU222" i="6" s="1"/>
  <c r="AV222" i="6" s="1"/>
  <c r="AH222" i="6" s="1"/>
  <c r="AF222" i="6"/>
  <c r="AS217" i="6"/>
  <c r="AP217" i="6"/>
  <c r="AF217" i="6"/>
  <c r="AS216" i="6"/>
  <c r="AP216" i="6"/>
  <c r="AF216" i="6"/>
  <c r="AT209" i="6"/>
  <c r="AS209" i="6"/>
  <c r="AR209" i="6"/>
  <c r="AF209" i="6"/>
  <c r="AR197" i="6"/>
  <c r="AQ197" i="6"/>
  <c r="AF197" i="6"/>
  <c r="AE197" i="6"/>
  <c r="AD197" i="6"/>
  <c r="AT195" i="6"/>
  <c r="AP195" i="6"/>
  <c r="AU195" i="6" s="1"/>
  <c r="AP193" i="6"/>
  <c r="AU193" i="6" s="1"/>
  <c r="AV193" i="6" s="1"/>
  <c r="AH193" i="6" s="1"/>
  <c r="AJ193" i="6" s="1"/>
  <c r="AP187" i="6"/>
  <c r="AU187" i="6" s="1"/>
  <c r="AV187" i="6" s="1"/>
  <c r="AH187" i="6" s="1"/>
  <c r="AJ187" i="6" s="1"/>
  <c r="AR184" i="6"/>
  <c r="AU184" i="6" s="1"/>
  <c r="AV184" i="6" s="1"/>
  <c r="AH184" i="6" s="1"/>
  <c r="AE184" i="6"/>
  <c r="AP176" i="6"/>
  <c r="AU176" i="6" s="1"/>
  <c r="AV176" i="6" s="1"/>
  <c r="AH176" i="6" s="1"/>
  <c r="AJ176" i="6" s="1"/>
  <c r="AR166" i="6"/>
  <c r="AU166" i="6" s="1"/>
  <c r="AV166" i="6" s="1"/>
  <c r="AH166" i="6" s="1"/>
  <c r="AG166" i="6"/>
  <c r="AF166" i="6"/>
  <c r="AE166" i="6"/>
  <c r="AR158" i="6"/>
  <c r="AU158" i="6" s="1"/>
  <c r="AV158" i="6" s="1"/>
  <c r="AH158" i="6" s="1"/>
  <c r="AG158" i="6"/>
  <c r="AE158" i="6"/>
  <c r="AT151" i="6"/>
  <c r="AP151" i="6"/>
  <c r="AU151" i="6" s="1"/>
  <c r="AP161" i="6"/>
  <c r="AU161" i="6" s="1"/>
  <c r="AV161" i="6" s="1"/>
  <c r="AH161" i="6" s="1"/>
  <c r="AJ161" i="6" s="1"/>
  <c r="AP150" i="6"/>
  <c r="AU150" i="6" s="1"/>
  <c r="AV150" i="6" s="1"/>
  <c r="AH150" i="6" s="1"/>
  <c r="AJ150" i="6" s="1"/>
  <c r="AR149" i="6"/>
  <c r="AU149" i="6" s="1"/>
  <c r="AV149" i="6" s="1"/>
  <c r="AH149" i="6" s="1"/>
  <c r="AJ149" i="6" s="1"/>
  <c r="AQ147" i="6"/>
  <c r="AU147" i="6" s="1"/>
  <c r="AV147" i="6" s="1"/>
  <c r="AH147" i="6" s="1"/>
  <c r="AG147" i="6"/>
  <c r="AP136" i="6"/>
  <c r="AU136" i="6" s="1"/>
  <c r="AV136" i="6" s="1"/>
  <c r="AH136" i="6" s="1"/>
  <c r="AJ136" i="6" s="1"/>
  <c r="AN132" i="6"/>
  <c r="AU132" i="6" s="1"/>
  <c r="AV132" i="6" s="1"/>
  <c r="AH132" i="6" s="1"/>
  <c r="AJ132" i="6" s="1"/>
  <c r="AU128" i="6"/>
  <c r="AV128" i="6" s="1"/>
  <c r="AH128" i="6" s="1"/>
  <c r="AJ128" i="6" s="1"/>
  <c r="AT116" i="6"/>
  <c r="AR116" i="6"/>
  <c r="AQ116" i="6"/>
  <c r="AP116" i="6"/>
  <c r="AI116" i="6"/>
  <c r="AG116" i="6"/>
  <c r="AF116" i="6"/>
  <c r="AG112" i="6"/>
  <c r="AF112" i="6"/>
  <c r="AE112" i="6"/>
  <c r="AD112" i="6"/>
  <c r="AP108" i="6"/>
  <c r="AU108" i="6" s="1"/>
  <c r="AV108" i="6" s="1"/>
  <c r="AH108" i="6" s="1"/>
  <c r="AJ108" i="6" s="1"/>
  <c r="AS90" i="6"/>
  <c r="AR90" i="6"/>
  <c r="AQ90" i="6"/>
  <c r="AG90" i="6"/>
  <c r="AF90" i="6"/>
  <c r="AR82" i="6"/>
  <c r="AU82" i="6" s="1"/>
  <c r="AV82" i="6" s="1"/>
  <c r="AH82" i="6" s="1"/>
  <c r="AJ82" i="6" s="1"/>
  <c r="AN76" i="6"/>
  <c r="AU76" i="6" s="1"/>
  <c r="AV76" i="6" s="1"/>
  <c r="AH76" i="6" s="1"/>
  <c r="AJ76" i="6" s="1"/>
  <c r="AP67" i="6"/>
  <c r="AU67" i="6" s="1"/>
  <c r="AV67" i="6" s="1"/>
  <c r="AH67" i="6" s="1"/>
  <c r="AJ67" i="6" s="1"/>
  <c r="AT35" i="6"/>
  <c r="AR35" i="6"/>
  <c r="AQ35" i="6"/>
  <c r="AP35" i="6"/>
  <c r="AI35" i="6"/>
  <c r="AG35" i="6"/>
  <c r="AF35" i="6"/>
  <c r="AN23" i="6"/>
  <c r="AU23" i="6" s="1"/>
  <c r="AV23" i="6" s="1"/>
  <c r="AH23" i="6" s="1"/>
  <c r="AJ23" i="6" s="1"/>
  <c r="AF274" i="6"/>
  <c r="AM274" i="6"/>
  <c r="AU274" i="6" s="1"/>
  <c r="AV274" i="6" s="1"/>
  <c r="AH274" i="6" s="1"/>
  <c r="AM237" i="6"/>
  <c r="AN237" i="6"/>
  <c r="AP237" i="6"/>
  <c r="AE140" i="6"/>
  <c r="AP140" i="6"/>
  <c r="AU140" i="6" s="1"/>
  <c r="AT140" i="6"/>
  <c r="AS104" i="6"/>
  <c r="AR104" i="6"/>
  <c r="AP104" i="6"/>
  <c r="AO104" i="6"/>
  <c r="AG104" i="6"/>
  <c r="AF104" i="6"/>
  <c r="AE104" i="6"/>
  <c r="AD104" i="6"/>
  <c r="AR8" i="6"/>
  <c r="AQ8" i="6"/>
  <c r="AP8" i="6"/>
  <c r="AI8" i="6"/>
  <c r="AG8" i="6"/>
  <c r="AF8" i="6"/>
  <c r="AE8" i="6"/>
  <c r="AN34" i="8"/>
  <c r="AU34" i="8" s="1"/>
  <c r="AV34" i="8" s="1"/>
  <c r="AH34" i="8" s="1"/>
  <c r="AJ34" i="8" s="1"/>
  <c r="AU20" i="8"/>
  <c r="AV20" i="8" s="1"/>
  <c r="AH20" i="8" s="1"/>
  <c r="AJ20" i="8" s="1"/>
  <c r="AS6" i="8"/>
  <c r="AR6" i="8"/>
  <c r="AQ6" i="8"/>
  <c r="AP6" i="8"/>
  <c r="AF6" i="8"/>
  <c r="AE6" i="8"/>
  <c r="AD6" i="8"/>
  <c r="AF282" i="1"/>
  <c r="AG272" i="1"/>
  <c r="AF272" i="1"/>
  <c r="AE272" i="1"/>
  <c r="AF251" i="1"/>
  <c r="AH246" i="1"/>
  <c r="AG246" i="1"/>
  <c r="AF246" i="1"/>
  <c r="Y245" i="1"/>
  <c r="AA245" i="1" s="1"/>
  <c r="AB245" i="1" s="1"/>
  <c r="AE241" i="1"/>
  <c r="AF236" i="1"/>
  <c r="AF233" i="1"/>
  <c r="AG228" i="1"/>
  <c r="AF228" i="1"/>
  <c r="AE228" i="1"/>
  <c r="AF227" i="1"/>
  <c r="AF213" i="1"/>
  <c r="AF212" i="1"/>
  <c r="AF204" i="1"/>
  <c r="AF203" i="1"/>
  <c r="AF201" i="1"/>
  <c r="AE193" i="1"/>
  <c r="AG19" i="1"/>
  <c r="AF19" i="1"/>
  <c r="AE19" i="1"/>
  <c r="AF188" i="1"/>
  <c r="Y186" i="1"/>
  <c r="AF176" i="1"/>
  <c r="Y153" i="1"/>
  <c r="AA153" i="1" s="1"/>
  <c r="AB153" i="1" s="1"/>
  <c r="AG17" i="1"/>
  <c r="AE17" i="1"/>
  <c r="Y151" i="1"/>
  <c r="AG150" i="1"/>
  <c r="AF149" i="1"/>
  <c r="AG15" i="1"/>
  <c r="AF142" i="1"/>
  <c r="AF114" i="1"/>
  <c r="Y92" i="1"/>
  <c r="AA92" i="1" s="1"/>
  <c r="AB92" i="1" s="1"/>
  <c r="AF78" i="1"/>
  <c r="AF67" i="1"/>
  <c r="Y10" i="1"/>
  <c r="AA10" i="1" s="1"/>
  <c r="AB10" i="1" s="1"/>
  <c r="AF41" i="1"/>
  <c r="AF32" i="1"/>
  <c r="AE32" i="1"/>
  <c r="AF39" i="1"/>
  <c r="N12" i="6" l="1"/>
  <c r="P12" i="6" s="1"/>
  <c r="Q12" i="6" s="1"/>
  <c r="D12" i="6" s="1"/>
  <c r="N10" i="1"/>
  <c r="P10" i="1" s="1"/>
  <c r="Q10" i="1" s="1"/>
  <c r="D10" i="1" s="1"/>
  <c r="N245" i="1"/>
  <c r="P245" i="1" s="1"/>
  <c r="Q245" i="1" s="1"/>
  <c r="D245" i="1" s="1"/>
  <c r="N92" i="1"/>
  <c r="P92" i="1" s="1"/>
  <c r="Q92" i="1" s="1"/>
  <c r="D92" i="1" s="1"/>
  <c r="N153" i="1"/>
  <c r="P153" i="1" s="1"/>
  <c r="Q153" i="1" s="1"/>
  <c r="D153" i="1" s="1"/>
  <c r="AJ246" i="1"/>
  <c r="AK246" i="1" s="1"/>
  <c r="Y246" i="1" s="1"/>
  <c r="AA246" i="1" s="1"/>
  <c r="AB246" i="1" s="1"/>
  <c r="AJ32" i="1"/>
  <c r="AK32" i="1" s="1"/>
  <c r="Y32" i="1" s="1"/>
  <c r="AA32" i="1" s="1"/>
  <c r="AB32" i="1" s="1"/>
  <c r="AA12" i="2"/>
  <c r="AB12" i="2" s="1"/>
  <c r="AA15" i="2"/>
  <c r="AB15" i="2" s="1"/>
  <c r="AJ272" i="1"/>
  <c r="AK272" i="1" s="1"/>
  <c r="Y272" i="1" s="1"/>
  <c r="AA272" i="1" s="1"/>
  <c r="AB272" i="1" s="1"/>
  <c r="AJ19" i="1"/>
  <c r="AK19" i="1" s="1"/>
  <c r="Y19" i="1" s="1"/>
  <c r="AA19" i="1" s="1"/>
  <c r="AB19" i="1" s="1"/>
  <c r="AJ176" i="1"/>
  <c r="AK176" i="1" s="1"/>
  <c r="Y176" i="1" s="1"/>
  <c r="AA176" i="1" s="1"/>
  <c r="AB176" i="1" s="1"/>
  <c r="AJ233" i="1"/>
  <c r="AK233" i="1" s="1"/>
  <c r="Y233" i="1" s="1"/>
  <c r="AA233" i="1" s="1"/>
  <c r="AB233" i="1" s="1"/>
  <c r="AJ236" i="1"/>
  <c r="AK236" i="1" s="1"/>
  <c r="Y236" i="1" s="1"/>
  <c r="AA236" i="1" s="1"/>
  <c r="AB236" i="1" s="1"/>
  <c r="AJ78" i="1"/>
  <c r="AK78" i="1" s="1"/>
  <c r="Y78" i="1" s="1"/>
  <c r="AA78" i="1" s="1"/>
  <c r="AB78" i="1" s="1"/>
  <c r="AA186" i="1"/>
  <c r="AB186" i="1" s="1"/>
  <c r="AJ241" i="1"/>
  <c r="AK241" i="1" s="1"/>
  <c r="Y241" i="1" s="1"/>
  <c r="AA241" i="1" s="1"/>
  <c r="AB241" i="1" s="1"/>
  <c r="AJ15" i="1"/>
  <c r="AK15" i="1" s="1"/>
  <c r="Y15" i="1" s="1"/>
  <c r="AA15" i="1" s="1"/>
  <c r="AB15" i="1" s="1"/>
  <c r="AA21" i="1"/>
  <c r="AB21" i="1" s="1"/>
  <c r="AJ149" i="1"/>
  <c r="AK149" i="1" s="1"/>
  <c r="Y149" i="1" s="1"/>
  <c r="AA149" i="1" s="1"/>
  <c r="AB149" i="1" s="1"/>
  <c r="AJ41" i="1"/>
  <c r="AK41" i="1" s="1"/>
  <c r="Y41" i="1" s="1"/>
  <c r="AA41" i="1" s="1"/>
  <c r="AB41" i="1" s="1"/>
  <c r="AJ114" i="1"/>
  <c r="AK114" i="1" s="1"/>
  <c r="Y114" i="1" s="1"/>
  <c r="AA114" i="1" s="1"/>
  <c r="AB114" i="1" s="1"/>
  <c r="AJ193" i="1"/>
  <c r="AK193" i="1" s="1"/>
  <c r="Y193" i="1" s="1"/>
  <c r="AA193" i="1" s="1"/>
  <c r="AB193" i="1" s="1"/>
  <c r="AJ203" i="1"/>
  <c r="AK203" i="1" s="1"/>
  <c r="Y203" i="1" s="1"/>
  <c r="AA203" i="1" s="1"/>
  <c r="AB203" i="1" s="1"/>
  <c r="AJ251" i="1"/>
  <c r="AK251" i="1" s="1"/>
  <c r="Y251" i="1" s="1"/>
  <c r="AA251" i="1" s="1"/>
  <c r="AB251" i="1" s="1"/>
  <c r="AA135" i="1"/>
  <c r="AB135" i="1" s="1"/>
  <c r="AA266" i="1"/>
  <c r="AB266" i="1" s="1"/>
  <c r="AJ282" i="1"/>
  <c r="AK282" i="1" s="1"/>
  <c r="Y282" i="1" s="1"/>
  <c r="AA282" i="1" s="1"/>
  <c r="AB282" i="1" s="1"/>
  <c r="AJ188" i="1"/>
  <c r="AK188" i="1" s="1"/>
  <c r="Y188" i="1" s="1"/>
  <c r="AA188" i="1" s="1"/>
  <c r="AB188" i="1" s="1"/>
  <c r="AJ39" i="1"/>
  <c r="AK39" i="1" s="1"/>
  <c r="Y39" i="1" s="1"/>
  <c r="AA39" i="1" s="1"/>
  <c r="AB39" i="1" s="1"/>
  <c r="AJ201" i="1"/>
  <c r="AK201" i="1" s="1"/>
  <c r="Y201" i="1" s="1"/>
  <c r="AA201" i="1" s="1"/>
  <c r="AB201" i="1" s="1"/>
  <c r="AJ150" i="1"/>
  <c r="AK150" i="1" s="1"/>
  <c r="Y150" i="1" s="1"/>
  <c r="AA150" i="1" s="1"/>
  <c r="AB150" i="1" s="1"/>
  <c r="AJ204" i="1"/>
  <c r="AK204" i="1" s="1"/>
  <c r="Y204" i="1" s="1"/>
  <c r="AA204" i="1" s="1"/>
  <c r="AB204" i="1" s="1"/>
  <c r="AJ17" i="1"/>
  <c r="AK17" i="1" s="1"/>
  <c r="Y17" i="1" s="1"/>
  <c r="AA17" i="1" s="1"/>
  <c r="AB17" i="1" s="1"/>
  <c r="AJ212" i="1"/>
  <c r="AK212" i="1" s="1"/>
  <c r="Y212" i="1" s="1"/>
  <c r="AA212" i="1" s="1"/>
  <c r="AB212" i="1" s="1"/>
  <c r="AA151" i="1"/>
  <c r="AB151" i="1" s="1"/>
  <c r="AA169" i="1"/>
  <c r="AB169" i="1" s="1"/>
  <c r="AA197" i="1"/>
  <c r="AB197" i="1" s="1"/>
  <c r="AJ227" i="1"/>
  <c r="AK227" i="1" s="1"/>
  <c r="Y227" i="1" s="1"/>
  <c r="AA227" i="1" s="1"/>
  <c r="AB227" i="1" s="1"/>
  <c r="AA98" i="1"/>
  <c r="AB98" i="1" s="1"/>
  <c r="AJ142" i="1"/>
  <c r="AK142" i="1" s="1"/>
  <c r="Y142" i="1" s="1"/>
  <c r="AA142" i="1" s="1"/>
  <c r="AB142" i="1" s="1"/>
  <c r="AJ213" i="1"/>
  <c r="AK213" i="1" s="1"/>
  <c r="Y213" i="1" s="1"/>
  <c r="AA213" i="1" s="1"/>
  <c r="AB213" i="1" s="1"/>
  <c r="AJ67" i="1"/>
  <c r="AK67" i="1" s="1"/>
  <c r="Y67" i="1" s="1"/>
  <c r="AA67" i="1" s="1"/>
  <c r="AB67" i="1" s="1"/>
  <c r="AJ228" i="1"/>
  <c r="AK228" i="1" s="1"/>
  <c r="Y228" i="1" s="1"/>
  <c r="AA228" i="1" s="1"/>
  <c r="AB228" i="1" s="1"/>
  <c r="Y152" i="1"/>
  <c r="AA152" i="1" s="1"/>
  <c r="AB152" i="1" s="1"/>
  <c r="Y113" i="1"/>
  <c r="AA113" i="1" s="1"/>
  <c r="AB113" i="1" s="1"/>
  <c r="Y224" i="1"/>
  <c r="AA224" i="1" s="1"/>
  <c r="AB224" i="1" s="1"/>
  <c r="Y34" i="1"/>
  <c r="AA34" i="1" s="1"/>
  <c r="AB34" i="1" s="1"/>
  <c r="Y190" i="1"/>
  <c r="AA190" i="1" s="1"/>
  <c r="AB190" i="1" s="1"/>
  <c r="AK20" i="8"/>
  <c r="Y20" i="8" s="1"/>
  <c r="AA20" i="8" s="1"/>
  <c r="AB20" i="8" s="1"/>
  <c r="N20" i="8" s="1"/>
  <c r="P20" i="8" s="1"/>
  <c r="Q20" i="8" s="1"/>
  <c r="D20" i="8" s="1"/>
  <c r="AK34" i="8"/>
  <c r="Y34" i="8" s="1"/>
  <c r="AA34" i="8" s="1"/>
  <c r="AB34" i="8" s="1"/>
  <c r="N34" i="8" s="1"/>
  <c r="P34" i="8" s="1"/>
  <c r="Q34" i="8" s="1"/>
  <c r="D34" i="8" s="1"/>
  <c r="AU6" i="8"/>
  <c r="AV6" i="8" s="1"/>
  <c r="AH6" i="8" s="1"/>
  <c r="AJ6" i="8" s="1"/>
  <c r="AJ173" i="6"/>
  <c r="AJ43" i="6"/>
  <c r="AU235" i="6"/>
  <c r="AV235" i="6" s="1"/>
  <c r="AH235" i="6" s="1"/>
  <c r="AJ235" i="6" s="1"/>
  <c r="AV287" i="6"/>
  <c r="AH287" i="6" s="1"/>
  <c r="AJ287" i="6" s="1"/>
  <c r="AK187" i="6"/>
  <c r="Y187" i="6" s="1"/>
  <c r="AA187" i="6" s="1"/>
  <c r="AB187" i="6" s="1"/>
  <c r="AK149" i="6"/>
  <c r="Y149" i="6" s="1"/>
  <c r="AA149" i="6" s="1"/>
  <c r="AB149" i="6" s="1"/>
  <c r="AK67" i="6"/>
  <c r="Y67" i="6" s="1"/>
  <c r="AA67" i="6" s="1"/>
  <c r="AB67" i="6" s="1"/>
  <c r="AK76" i="6"/>
  <c r="Y76" i="6" s="1"/>
  <c r="AA76" i="6" s="1"/>
  <c r="AB76" i="6" s="1"/>
  <c r="AK296" i="6"/>
  <c r="Y296" i="6" s="1"/>
  <c r="AA296" i="6" s="1"/>
  <c r="AB296" i="6" s="1"/>
  <c r="AK265" i="6"/>
  <c r="Y265" i="6" s="1"/>
  <c r="AA265" i="6" s="1"/>
  <c r="AB265" i="6" s="1"/>
  <c r="AK305" i="6"/>
  <c r="Y305" i="6" s="1"/>
  <c r="AA305" i="6" s="1"/>
  <c r="AB305" i="6" s="1"/>
  <c r="AK24" i="6"/>
  <c r="Y24" i="6" s="1"/>
  <c r="AA24" i="6" s="1"/>
  <c r="AB24" i="6" s="1"/>
  <c r="AK161" i="6"/>
  <c r="Y161" i="6" s="1"/>
  <c r="AA161" i="6" s="1"/>
  <c r="AB161" i="6" s="1"/>
  <c r="AK108" i="6"/>
  <c r="Y108" i="6" s="1"/>
  <c r="AA108" i="6" s="1"/>
  <c r="AB108" i="6" s="1"/>
  <c r="AK193" i="6"/>
  <c r="Y193" i="6" s="1"/>
  <c r="AA193" i="6" s="1"/>
  <c r="AB193" i="6" s="1"/>
  <c r="AK150" i="6"/>
  <c r="Y150" i="6" s="1"/>
  <c r="AA150" i="6" s="1"/>
  <c r="AB150" i="6" s="1"/>
  <c r="AK82" i="6"/>
  <c r="Y82" i="6" s="1"/>
  <c r="AA82" i="6" s="1"/>
  <c r="AB82" i="6" s="1"/>
  <c r="AK128" i="6"/>
  <c r="Y128" i="6" s="1"/>
  <c r="AA128" i="6" s="1"/>
  <c r="AB128" i="6" s="1"/>
  <c r="AK132" i="6"/>
  <c r="Y132" i="6" s="1"/>
  <c r="AA132" i="6" s="1"/>
  <c r="AB132" i="6" s="1"/>
  <c r="AK176" i="6"/>
  <c r="Y176" i="6" s="1"/>
  <c r="AA176" i="6" s="1"/>
  <c r="AB176" i="6" s="1"/>
  <c r="AK23" i="6"/>
  <c r="Y23" i="6" s="1"/>
  <c r="AA23" i="6" s="1"/>
  <c r="AB23" i="6" s="1"/>
  <c r="AK269" i="6"/>
  <c r="Y269" i="6" s="1"/>
  <c r="AA269" i="6" s="1"/>
  <c r="AB269" i="6" s="1"/>
  <c r="AK136" i="6"/>
  <c r="Y136" i="6" s="1"/>
  <c r="AA136" i="6" s="1"/>
  <c r="AB136" i="6" s="1"/>
  <c r="AK260" i="6"/>
  <c r="Y260" i="6" s="1"/>
  <c r="AA260" i="6" s="1"/>
  <c r="AB260" i="6" s="1"/>
  <c r="AK157" i="6"/>
  <c r="Y157" i="6" s="1"/>
  <c r="AA157" i="6" s="1"/>
  <c r="AB157" i="6" s="1"/>
  <c r="AK245" i="6"/>
  <c r="Y245" i="6" s="1"/>
  <c r="AA245" i="6" s="1"/>
  <c r="AB245" i="6" s="1"/>
  <c r="AJ226" i="6"/>
  <c r="AJ285" i="6"/>
  <c r="AJ155" i="6"/>
  <c r="AU216" i="6"/>
  <c r="AV216" i="6" s="1"/>
  <c r="AH216" i="6" s="1"/>
  <c r="AJ216" i="6" s="1"/>
  <c r="AJ262" i="6"/>
  <c r="AJ259" i="6"/>
  <c r="AU217" i="6"/>
  <c r="AV217" i="6" s="1"/>
  <c r="AH217" i="6" s="1"/>
  <c r="AJ217" i="6" s="1"/>
  <c r="AJ222" i="6"/>
  <c r="AU209" i="6"/>
  <c r="AV209" i="6" s="1"/>
  <c r="AH209" i="6" s="1"/>
  <c r="AJ209" i="6" s="1"/>
  <c r="AU197" i="6"/>
  <c r="AV197" i="6" s="1"/>
  <c r="AH197" i="6" s="1"/>
  <c r="AJ197" i="6" s="1"/>
  <c r="AV195" i="6"/>
  <c r="AH195" i="6" s="1"/>
  <c r="AJ195" i="6" s="1"/>
  <c r="AJ184" i="6"/>
  <c r="AV151" i="6"/>
  <c r="AH151" i="6" s="1"/>
  <c r="AJ151" i="6" s="1"/>
  <c r="AJ166" i="6"/>
  <c r="AJ158" i="6"/>
  <c r="AU237" i="6"/>
  <c r="AV237" i="6" s="1"/>
  <c r="AH237" i="6" s="1"/>
  <c r="AJ237" i="6" s="1"/>
  <c r="AU8" i="6"/>
  <c r="AV8" i="6" s="1"/>
  <c r="AH8" i="6" s="1"/>
  <c r="AJ8" i="6" s="1"/>
  <c r="AU90" i="6"/>
  <c r="AV90" i="6" s="1"/>
  <c r="AH90" i="6" s="1"/>
  <c r="AJ90" i="6" s="1"/>
  <c r="AJ147" i="6"/>
  <c r="AU116" i="6"/>
  <c r="AV116" i="6" s="1"/>
  <c r="AH116" i="6" s="1"/>
  <c r="AJ116" i="6" s="1"/>
  <c r="AJ274" i="6"/>
  <c r="AU35" i="6"/>
  <c r="AV35" i="6" s="1"/>
  <c r="AH35" i="6" s="1"/>
  <c r="AJ35" i="6" s="1"/>
  <c r="AJ112" i="6"/>
  <c r="AV140" i="6"/>
  <c r="AH140" i="6" s="1"/>
  <c r="AJ140" i="6" s="1"/>
  <c r="AU104" i="6"/>
  <c r="AV104" i="6" s="1"/>
  <c r="AH104" i="6" s="1"/>
  <c r="AJ104" i="6" s="1"/>
  <c r="N15" i="2" l="1"/>
  <c r="P15" i="2" s="1"/>
  <c r="Q15" i="2" s="1"/>
  <c r="D15" i="2" s="1"/>
  <c r="N12" i="2"/>
  <c r="P12" i="2" s="1"/>
  <c r="Q12" i="2" s="1"/>
  <c r="D12" i="2" s="1"/>
  <c r="N296" i="6"/>
  <c r="P296" i="6" s="1"/>
  <c r="Q296" i="6" s="1"/>
  <c r="D296" i="6" s="1"/>
  <c r="N128" i="6"/>
  <c r="P128" i="6" s="1"/>
  <c r="Q128" i="6" s="1"/>
  <c r="D128" i="6" s="1"/>
  <c r="N265" i="6"/>
  <c r="P265" i="6" s="1"/>
  <c r="Q265" i="6" s="1"/>
  <c r="D265" i="6" s="1"/>
  <c r="N260" i="6"/>
  <c r="P260" i="6" s="1"/>
  <c r="Q260" i="6" s="1"/>
  <c r="D260" i="6" s="1"/>
  <c r="N149" i="6"/>
  <c r="P149" i="6" s="1"/>
  <c r="Q149" i="6" s="1"/>
  <c r="D149" i="6" s="1"/>
  <c r="N23" i="6"/>
  <c r="P23" i="6" s="1"/>
  <c r="Q23" i="6" s="1"/>
  <c r="D23" i="6" s="1"/>
  <c r="N82" i="6"/>
  <c r="P82" i="6" s="1"/>
  <c r="Q82" i="6" s="1"/>
  <c r="D82" i="6" s="1"/>
  <c r="N157" i="6"/>
  <c r="P157" i="6" s="1"/>
  <c r="Q157" i="6" s="1"/>
  <c r="D157" i="6" s="1"/>
  <c r="N67" i="6"/>
  <c r="P67" i="6" s="1"/>
  <c r="Q67" i="6" s="1"/>
  <c r="D67" i="6" s="1"/>
  <c r="N176" i="6"/>
  <c r="P176" i="6" s="1"/>
  <c r="Q176" i="6" s="1"/>
  <c r="D176" i="6" s="1"/>
  <c r="N132" i="6"/>
  <c r="P132" i="6" s="1"/>
  <c r="Q132" i="6" s="1"/>
  <c r="D132" i="6" s="1"/>
  <c r="N245" i="6"/>
  <c r="P245" i="6" s="1"/>
  <c r="Q245" i="6" s="1"/>
  <c r="D245" i="6" s="1"/>
  <c r="N76" i="6"/>
  <c r="P76" i="6" s="1"/>
  <c r="Q76" i="6" s="1"/>
  <c r="D76" i="6" s="1"/>
  <c r="N269" i="6"/>
  <c r="P269" i="6" s="1"/>
  <c r="Q269" i="6" s="1"/>
  <c r="D269" i="6" s="1"/>
  <c r="N187" i="6"/>
  <c r="P187" i="6" s="1"/>
  <c r="Q187" i="6" s="1"/>
  <c r="D187" i="6" s="1"/>
  <c r="N150" i="6"/>
  <c r="P150" i="6" s="1"/>
  <c r="Q150" i="6" s="1"/>
  <c r="D150" i="6" s="1"/>
  <c r="N193" i="6"/>
  <c r="P193" i="6" s="1"/>
  <c r="Q193" i="6" s="1"/>
  <c r="D193" i="6" s="1"/>
  <c r="N136" i="6"/>
  <c r="P136" i="6" s="1"/>
  <c r="Q136" i="6" s="1"/>
  <c r="D136" i="6" s="1"/>
  <c r="N108" i="6"/>
  <c r="P108" i="6" s="1"/>
  <c r="Q108" i="6" s="1"/>
  <c r="D108" i="6" s="1"/>
  <c r="N161" i="6"/>
  <c r="P161" i="6" s="1"/>
  <c r="Q161" i="6" s="1"/>
  <c r="D161" i="6" s="1"/>
  <c r="N24" i="6"/>
  <c r="P24" i="6" s="1"/>
  <c r="Q24" i="6" s="1"/>
  <c r="D24" i="6" s="1"/>
  <c r="N305" i="6"/>
  <c r="P305" i="6" s="1"/>
  <c r="Q305" i="6" s="1"/>
  <c r="D305" i="6" s="1"/>
  <c r="N282" i="1"/>
  <c r="P282" i="1" s="1"/>
  <c r="Q282" i="1" s="1"/>
  <c r="D282" i="1" s="1"/>
  <c r="N135" i="1"/>
  <c r="P135" i="1" s="1"/>
  <c r="Q135" i="1" s="1"/>
  <c r="D135" i="1" s="1"/>
  <c r="N32" i="1"/>
  <c r="P32" i="1" s="1"/>
  <c r="Q32" i="1" s="1"/>
  <c r="D32" i="1" s="1"/>
  <c r="N169" i="1"/>
  <c r="P169" i="1" s="1"/>
  <c r="Q169" i="1" s="1"/>
  <c r="D169" i="1" s="1"/>
  <c r="N176" i="1"/>
  <c r="P176" i="1" s="1"/>
  <c r="Q176" i="1" s="1"/>
  <c r="D176" i="1" s="1"/>
  <c r="N213" i="1"/>
  <c r="P213" i="1" s="1"/>
  <c r="Q213" i="1" s="1"/>
  <c r="D213" i="1" s="1"/>
  <c r="N203" i="1"/>
  <c r="P203" i="1" s="1"/>
  <c r="Q203" i="1" s="1"/>
  <c r="D203" i="1" s="1"/>
  <c r="N114" i="1"/>
  <c r="P114" i="1" s="1"/>
  <c r="Q114" i="1" s="1"/>
  <c r="D114" i="1" s="1"/>
  <c r="N151" i="1"/>
  <c r="P151" i="1" s="1"/>
  <c r="Q151" i="1" s="1"/>
  <c r="D151" i="1" s="1"/>
  <c r="N233" i="1"/>
  <c r="P233" i="1" s="1"/>
  <c r="Q233" i="1" s="1"/>
  <c r="D233" i="1" s="1"/>
  <c r="N266" i="1"/>
  <c r="P266" i="1" s="1"/>
  <c r="Q266" i="1" s="1"/>
  <c r="D266" i="1" s="1"/>
  <c r="N142" i="1"/>
  <c r="P142" i="1" s="1"/>
  <c r="Q142" i="1" s="1"/>
  <c r="D142" i="1" s="1"/>
  <c r="N193" i="1"/>
  <c r="P193" i="1" s="1"/>
  <c r="Q193" i="1" s="1"/>
  <c r="D193" i="1" s="1"/>
  <c r="N41" i="1"/>
  <c r="P41" i="1" s="1"/>
  <c r="Q41" i="1" s="1"/>
  <c r="D41" i="1" s="1"/>
  <c r="N21" i="1"/>
  <c r="P21" i="1" s="1"/>
  <c r="Q21" i="1" s="1"/>
  <c r="D21" i="1" s="1"/>
  <c r="N241" i="1"/>
  <c r="P241" i="1" s="1"/>
  <c r="Q241" i="1" s="1"/>
  <c r="D241" i="1" s="1"/>
  <c r="N34" i="1"/>
  <c r="P34" i="1" s="1"/>
  <c r="Q34" i="1" s="1"/>
  <c r="D34" i="1" s="1"/>
  <c r="N150" i="1"/>
  <c r="P150" i="1" s="1"/>
  <c r="Q150" i="1" s="1"/>
  <c r="D150" i="1" s="1"/>
  <c r="N186" i="1"/>
  <c r="P186" i="1" s="1"/>
  <c r="Q186" i="1" s="1"/>
  <c r="D186" i="1" s="1"/>
  <c r="N152" i="1"/>
  <c r="P152" i="1" s="1"/>
  <c r="Q152" i="1" s="1"/>
  <c r="D152" i="1" s="1"/>
  <c r="N19" i="1"/>
  <c r="P19" i="1" s="1"/>
  <c r="Q19" i="1" s="1"/>
  <c r="D19" i="1" s="1"/>
  <c r="N251" i="1"/>
  <c r="P251" i="1" s="1"/>
  <c r="Q251" i="1" s="1"/>
  <c r="D251" i="1" s="1"/>
  <c r="N98" i="1"/>
  <c r="P98" i="1" s="1"/>
  <c r="Q98" i="1" s="1"/>
  <c r="D98" i="1" s="1"/>
  <c r="N197" i="1"/>
  <c r="P197" i="1" s="1"/>
  <c r="Q197" i="1" s="1"/>
  <c r="D197" i="1" s="1"/>
  <c r="N15" i="1"/>
  <c r="P15" i="1" s="1"/>
  <c r="Q15" i="1" s="1"/>
  <c r="D15" i="1" s="1"/>
  <c r="N204" i="1"/>
  <c r="P204" i="1" s="1"/>
  <c r="Q204" i="1" s="1"/>
  <c r="D204" i="1" s="1"/>
  <c r="N224" i="1"/>
  <c r="P224" i="1" s="1"/>
  <c r="Q224" i="1" s="1"/>
  <c r="D224" i="1" s="1"/>
  <c r="N201" i="1"/>
  <c r="P201" i="1" s="1"/>
  <c r="Q201" i="1" s="1"/>
  <c r="D201" i="1" s="1"/>
  <c r="N78" i="1"/>
  <c r="P78" i="1" s="1"/>
  <c r="Q78" i="1" s="1"/>
  <c r="D78" i="1" s="1"/>
  <c r="N188" i="1"/>
  <c r="P188" i="1" s="1"/>
  <c r="Q188" i="1" s="1"/>
  <c r="D188" i="1" s="1"/>
  <c r="N228" i="1"/>
  <c r="P228" i="1" s="1"/>
  <c r="Q228" i="1" s="1"/>
  <c r="D228" i="1" s="1"/>
  <c r="N67" i="1"/>
  <c r="P67" i="1" s="1"/>
  <c r="Q67" i="1" s="1"/>
  <c r="D67" i="1" s="1"/>
  <c r="N272" i="1"/>
  <c r="P272" i="1" s="1"/>
  <c r="Q272" i="1" s="1"/>
  <c r="D272" i="1" s="1"/>
  <c r="N227" i="1"/>
  <c r="P227" i="1" s="1"/>
  <c r="Q227" i="1" s="1"/>
  <c r="D227" i="1" s="1"/>
  <c r="N246" i="1"/>
  <c r="P246" i="1" s="1"/>
  <c r="Q246" i="1" s="1"/>
  <c r="D246" i="1" s="1"/>
  <c r="N149" i="1"/>
  <c r="P149" i="1" s="1"/>
  <c r="Q149" i="1" s="1"/>
  <c r="D149" i="1" s="1"/>
  <c r="N212" i="1"/>
  <c r="P212" i="1" s="1"/>
  <c r="Q212" i="1" s="1"/>
  <c r="D212" i="1" s="1"/>
  <c r="N17" i="1"/>
  <c r="P17" i="1" s="1"/>
  <c r="Q17" i="1" s="1"/>
  <c r="D17" i="1" s="1"/>
  <c r="N190" i="1"/>
  <c r="P190" i="1" s="1"/>
  <c r="Q190" i="1" s="1"/>
  <c r="D190" i="1" s="1"/>
  <c r="N113" i="1"/>
  <c r="P113" i="1" s="1"/>
  <c r="Q113" i="1" s="1"/>
  <c r="D113" i="1" s="1"/>
  <c r="N39" i="1"/>
  <c r="P39" i="1" s="1"/>
  <c r="Q39" i="1" s="1"/>
  <c r="D39" i="1" s="1"/>
  <c r="N236" i="1"/>
  <c r="P236" i="1" s="1"/>
  <c r="Q236" i="1" s="1"/>
  <c r="D236" i="1" s="1"/>
  <c r="AK6" i="8"/>
  <c r="Y6" i="8" s="1"/>
  <c r="AA6" i="8" s="1"/>
  <c r="AB6" i="8" s="1"/>
  <c r="N6" i="8" s="1"/>
  <c r="P6" i="8" s="1"/>
  <c r="Q6" i="8" s="1"/>
  <c r="D6" i="8" s="1"/>
  <c r="AK287" i="6"/>
  <c r="Y287" i="6" s="1"/>
  <c r="AA287" i="6" s="1"/>
  <c r="AB287" i="6" s="1"/>
  <c r="AK173" i="6"/>
  <c r="Y173" i="6" s="1"/>
  <c r="AA173" i="6" s="1"/>
  <c r="AB173" i="6" s="1"/>
  <c r="AK43" i="6"/>
  <c r="Y43" i="6" s="1"/>
  <c r="AA43" i="6" s="1"/>
  <c r="AB43" i="6" s="1"/>
  <c r="AK184" i="6"/>
  <c r="Y184" i="6" s="1"/>
  <c r="AA184" i="6" s="1"/>
  <c r="AB184" i="6" s="1"/>
  <c r="AK195" i="6"/>
  <c r="Y195" i="6" s="1"/>
  <c r="AA195" i="6" s="1"/>
  <c r="AB195" i="6" s="1"/>
  <c r="AK209" i="6"/>
  <c r="Y209" i="6" s="1"/>
  <c r="AA209" i="6" s="1"/>
  <c r="AB209" i="6" s="1"/>
  <c r="AK104" i="6"/>
  <c r="Y104" i="6" s="1"/>
  <c r="AA104" i="6" s="1"/>
  <c r="AB104" i="6" s="1"/>
  <c r="AK140" i="6"/>
  <c r="Y140" i="6" s="1"/>
  <c r="AA140" i="6" s="1"/>
  <c r="AB140" i="6" s="1"/>
  <c r="AK217" i="6"/>
  <c r="Y217" i="6" s="1"/>
  <c r="AA217" i="6" s="1"/>
  <c r="AB217" i="6" s="1"/>
  <c r="AK35" i="6"/>
  <c r="Y35" i="6" s="1"/>
  <c r="AA35" i="6" s="1"/>
  <c r="AB35" i="6" s="1"/>
  <c r="AK222" i="6"/>
  <c r="Y222" i="6" s="1"/>
  <c r="AA222" i="6" s="1"/>
  <c r="AB222" i="6" s="1"/>
  <c r="AK259" i="6"/>
  <c r="Y259" i="6" s="1"/>
  <c r="AA259" i="6" s="1"/>
  <c r="AB259" i="6" s="1"/>
  <c r="AK8" i="6"/>
  <c r="Y8" i="6" s="1"/>
  <c r="AA8" i="6" s="1"/>
  <c r="AB8" i="6" s="1"/>
  <c r="AK147" i="6"/>
  <c r="Y147" i="6" s="1"/>
  <c r="AA147" i="6" s="1"/>
  <c r="AB147" i="6" s="1"/>
  <c r="AK90" i="6"/>
  <c r="Y90" i="6" s="1"/>
  <c r="AA90" i="6" s="1"/>
  <c r="AB90" i="6" s="1"/>
  <c r="AK262" i="6"/>
  <c r="Y262" i="6" s="1"/>
  <c r="AA262" i="6" s="1"/>
  <c r="AB262" i="6" s="1"/>
  <c r="AK158" i="6"/>
  <c r="Y158" i="6" s="1"/>
  <c r="AA158" i="6" s="1"/>
  <c r="AB158" i="6" s="1"/>
  <c r="AK166" i="6"/>
  <c r="Y166" i="6" s="1"/>
  <c r="AA166" i="6" s="1"/>
  <c r="AB166" i="6" s="1"/>
  <c r="AK285" i="6"/>
  <c r="Y285" i="6" s="1"/>
  <c r="AA285" i="6" s="1"/>
  <c r="AB285" i="6" s="1"/>
  <c r="AK216" i="6"/>
  <c r="Y216" i="6" s="1"/>
  <c r="AA216" i="6" s="1"/>
  <c r="AB216" i="6" s="1"/>
  <c r="AK197" i="6"/>
  <c r="Y197" i="6" s="1"/>
  <c r="AA197" i="6" s="1"/>
  <c r="AB197" i="6" s="1"/>
  <c r="AK112" i="6"/>
  <c r="Y112" i="6" s="1"/>
  <c r="AA112" i="6" s="1"/>
  <c r="AB112" i="6" s="1"/>
  <c r="AK274" i="6"/>
  <c r="Y274" i="6" s="1"/>
  <c r="AA274" i="6" s="1"/>
  <c r="AB274" i="6" s="1"/>
  <c r="AK116" i="6"/>
  <c r="Y116" i="6" s="1"/>
  <c r="AA116" i="6" s="1"/>
  <c r="AB116" i="6" s="1"/>
  <c r="AK235" i="6"/>
  <c r="Y235" i="6" s="1"/>
  <c r="AA235" i="6" s="1"/>
  <c r="AB235" i="6" s="1"/>
  <c r="AK237" i="6"/>
  <c r="Y237" i="6" s="1"/>
  <c r="AA237" i="6" s="1"/>
  <c r="AB237" i="6" s="1"/>
  <c r="AK155" i="6"/>
  <c r="Y155" i="6" s="1"/>
  <c r="AA155" i="6" s="1"/>
  <c r="AB155" i="6" s="1"/>
  <c r="AK151" i="6"/>
  <c r="Y151" i="6" s="1"/>
  <c r="AA151" i="6" s="1"/>
  <c r="AB151" i="6" s="1"/>
  <c r="AK226" i="6"/>
  <c r="Y226" i="6" s="1"/>
  <c r="AA226" i="6" s="1"/>
  <c r="AB226" i="6" s="1"/>
  <c r="AD28" i="4"/>
  <c r="AJ28" i="4" s="1"/>
  <c r="AI28" i="4"/>
  <c r="AS30" i="4"/>
  <c r="AU30" i="4" s="1"/>
  <c r="AV30" i="4" s="1"/>
  <c r="AH30" i="4" s="1"/>
  <c r="AI30" i="4"/>
  <c r="AG30" i="4"/>
  <c r="AF30" i="4"/>
  <c r="AE30" i="4"/>
  <c r="AS18" i="4"/>
  <c r="AR18" i="4"/>
  <c r="AQ18" i="4"/>
  <c r="AP18" i="4"/>
  <c r="AF18" i="4"/>
  <c r="AE18" i="4"/>
  <c r="AD18" i="4"/>
  <c r="AS12" i="4"/>
  <c r="AR12" i="4"/>
  <c r="AP12" i="4"/>
  <c r="AG12" i="4"/>
  <c r="AG76" i="3"/>
  <c r="AJ76" i="3" s="1"/>
  <c r="AI76" i="3"/>
  <c r="AD117" i="3"/>
  <c r="AJ117" i="3" s="1"/>
  <c r="AI117" i="3"/>
  <c r="AF144" i="3"/>
  <c r="AG144" i="3"/>
  <c r="AG156" i="3"/>
  <c r="AJ156" i="3" s="1"/>
  <c r="AI156" i="3"/>
  <c r="AE169" i="3"/>
  <c r="AF169" i="3"/>
  <c r="AD197" i="3"/>
  <c r="AE197" i="3"/>
  <c r="AD209" i="3"/>
  <c r="AE209" i="3"/>
  <c r="AF209" i="3"/>
  <c r="AG212" i="3"/>
  <c r="AF217" i="3"/>
  <c r="AG217" i="3"/>
  <c r="AG270" i="3"/>
  <c r="AJ270" i="3" s="1"/>
  <c r="AI270" i="3"/>
  <c r="AD303" i="3"/>
  <c r="AE303" i="3"/>
  <c r="AF303" i="3"/>
  <c r="AG303" i="3"/>
  <c r="AG306" i="3"/>
  <c r="AJ306" i="3" s="1"/>
  <c r="AI306" i="3"/>
  <c r="AG313" i="3"/>
  <c r="AJ313" i="3" s="1"/>
  <c r="AG319" i="3"/>
  <c r="AJ319" i="3" s="1"/>
  <c r="AI319" i="3"/>
  <c r="AE384" i="3"/>
  <c r="AG384" i="3"/>
  <c r="AG415" i="3"/>
  <c r="AJ415" i="3" s="1"/>
  <c r="AI415" i="3"/>
  <c r="AQ461" i="3"/>
  <c r="AU461" i="3" s="1"/>
  <c r="AV461" i="3" s="1"/>
  <c r="AH461" i="3" s="1"/>
  <c r="AJ461" i="3" s="1"/>
  <c r="AP449" i="3"/>
  <c r="AU449" i="3" s="1"/>
  <c r="AV449" i="3" s="1"/>
  <c r="AH449" i="3" s="1"/>
  <c r="AF426" i="3"/>
  <c r="AG426" i="3"/>
  <c r="AP426" i="3"/>
  <c r="AQ426" i="3"/>
  <c r="AR426" i="3"/>
  <c r="AE423" i="3"/>
  <c r="AF423" i="3"/>
  <c r="AQ423" i="3"/>
  <c r="AR423" i="3"/>
  <c r="AO418" i="3"/>
  <c r="AU418" i="3" s="1"/>
  <c r="AV418" i="3" s="1"/>
  <c r="AH418" i="3" s="1"/>
  <c r="AJ418" i="3" s="1"/>
  <c r="AD416" i="3"/>
  <c r="AE416" i="3"/>
  <c r="AF416" i="3"/>
  <c r="AG416" i="3"/>
  <c r="AP416" i="3"/>
  <c r="AQ416" i="3"/>
  <c r="AR416" i="3"/>
  <c r="AF27" i="3"/>
  <c r="AG27" i="3"/>
  <c r="AI27" i="3"/>
  <c r="AO27" i="3"/>
  <c r="AU27" i="3" s="1"/>
  <c r="AV27" i="3" s="1"/>
  <c r="AH27" i="3" s="1"/>
  <c r="AP409" i="3"/>
  <c r="AU409" i="3" s="1"/>
  <c r="AV409" i="3" s="1"/>
  <c r="AH409" i="3" s="1"/>
  <c r="AJ409" i="3" s="1"/>
  <c r="AE391" i="3"/>
  <c r="AF391" i="3"/>
  <c r="AG391" i="3"/>
  <c r="AP391" i="3"/>
  <c r="AU391" i="3" s="1"/>
  <c r="AV391" i="3" s="1"/>
  <c r="AH391" i="3" s="1"/>
  <c r="AG377" i="3"/>
  <c r="AO377" i="3"/>
  <c r="AU377" i="3" s="1"/>
  <c r="AV377" i="3" s="1"/>
  <c r="AH377" i="3" s="1"/>
  <c r="AE23" i="3"/>
  <c r="AF23" i="3"/>
  <c r="AG23" i="3"/>
  <c r="AI23" i="3"/>
  <c r="AR23" i="3"/>
  <c r="AU23" i="3" s="1"/>
  <c r="AV23" i="3" s="1"/>
  <c r="AH23" i="3" s="1"/>
  <c r="AP336" i="3"/>
  <c r="AQ336" i="3"/>
  <c r="AR336" i="3"/>
  <c r="AS336" i="3"/>
  <c r="AF322" i="3"/>
  <c r="AG322" i="3"/>
  <c r="AP322" i="3"/>
  <c r="AQ322" i="3"/>
  <c r="AS322" i="3"/>
  <c r="AF294" i="3"/>
  <c r="AG294" i="3"/>
  <c r="AI294" i="3"/>
  <c r="AS294" i="3"/>
  <c r="AU294" i="3" s="1"/>
  <c r="AV294" i="3" s="1"/>
  <c r="AH294" i="3" s="1"/>
  <c r="AD291" i="3"/>
  <c r="AF291" i="3"/>
  <c r="AG291" i="3"/>
  <c r="AN291" i="3"/>
  <c r="AP291" i="3"/>
  <c r="AR291" i="3"/>
  <c r="AS291" i="3"/>
  <c r="AQ253" i="3"/>
  <c r="AU253" i="3" s="1"/>
  <c r="AV253" i="3" s="1"/>
  <c r="AH253" i="3" s="1"/>
  <c r="AJ253" i="3" s="1"/>
  <c r="AE259" i="3"/>
  <c r="AF259" i="3"/>
  <c r="AG259" i="3"/>
  <c r="AR259" i="3"/>
  <c r="AU259" i="3" s="1"/>
  <c r="AV259" i="3" s="1"/>
  <c r="AH259" i="3" s="1"/>
  <c r="AP145" i="6"/>
  <c r="AO145" i="6"/>
  <c r="AF145" i="6"/>
  <c r="AO228" i="3"/>
  <c r="AU228" i="3" s="1"/>
  <c r="AV228" i="3" s="1"/>
  <c r="AH228" i="3" s="1"/>
  <c r="AF205" i="3"/>
  <c r="AG205" i="3"/>
  <c r="AO205" i="3"/>
  <c r="AU205" i="3" s="1"/>
  <c r="AV205" i="3" s="1"/>
  <c r="AH205" i="3" s="1"/>
  <c r="AU14" i="3"/>
  <c r="AV14" i="3" s="1"/>
  <c r="AF14" i="3"/>
  <c r="AH14" i="3"/>
  <c r="AE182" i="3"/>
  <c r="AF182" i="3"/>
  <c r="AG182" i="3"/>
  <c r="AI182" i="3"/>
  <c r="AR182" i="3"/>
  <c r="AU182" i="3" s="1"/>
  <c r="AV182" i="3" s="1"/>
  <c r="AH182" i="3" s="1"/>
  <c r="AE12" i="3"/>
  <c r="AF12" i="3"/>
  <c r="AG12" i="3"/>
  <c r="AI12" i="3"/>
  <c r="AU12" i="3"/>
  <c r="AV12" i="3" s="1"/>
  <c r="AH12" i="3" s="1"/>
  <c r="AF160" i="3"/>
  <c r="AM160" i="3"/>
  <c r="AU160" i="3" s="1"/>
  <c r="AV160" i="3" s="1"/>
  <c r="AH160" i="3" s="1"/>
  <c r="AP146" i="3"/>
  <c r="AR146" i="3"/>
  <c r="AS146" i="3"/>
  <c r="AN106" i="3"/>
  <c r="AP106" i="3"/>
  <c r="AE95" i="3"/>
  <c r="AG95" i="3"/>
  <c r="AP95" i="3"/>
  <c r="AQ95" i="3"/>
  <c r="AR95" i="3"/>
  <c r="AE6" i="3"/>
  <c r="AI6" i="3"/>
  <c r="AR6" i="3"/>
  <c r="AU6" i="3" s="1"/>
  <c r="AV6" i="3" s="1"/>
  <c r="AH6" i="3" s="1"/>
  <c r="AN66" i="3"/>
  <c r="AP66" i="3"/>
  <c r="AP46" i="3"/>
  <c r="AU46" i="3" s="1"/>
  <c r="AV46" i="3" s="1"/>
  <c r="AH46" i="3" s="1"/>
  <c r="AN41" i="3"/>
  <c r="AP41" i="3"/>
  <c r="AE30" i="3"/>
  <c r="AF30" i="3"/>
  <c r="AG30" i="3"/>
  <c r="AI30" i="3"/>
  <c r="AS30" i="3"/>
  <c r="AU30" i="3" s="1"/>
  <c r="AV30" i="3" s="1"/>
  <c r="AH30" i="3" s="1"/>
  <c r="AE25" i="3"/>
  <c r="AF25" i="3"/>
  <c r="AG25" i="3"/>
  <c r="AH25" i="3"/>
  <c r="AI25" i="3"/>
  <c r="AE8" i="3"/>
  <c r="AF8" i="3"/>
  <c r="AG8" i="3"/>
  <c r="AM8" i="3"/>
  <c r="AO8" i="3"/>
  <c r="AP8" i="3"/>
  <c r="AQ8" i="3"/>
  <c r="AR8" i="3"/>
  <c r="AG9" i="3"/>
  <c r="AI9" i="3"/>
  <c r="AP9" i="3"/>
  <c r="AQ9" i="3"/>
  <c r="AR9" i="3"/>
  <c r="AF183" i="3"/>
  <c r="AG183" i="3"/>
  <c r="AR183" i="3"/>
  <c r="AS183" i="3"/>
  <c r="AE114" i="3"/>
  <c r="AF114" i="3"/>
  <c r="AG114" i="3"/>
  <c r="AI114" i="3"/>
  <c r="AN114" i="3"/>
  <c r="AP114" i="3"/>
  <c r="AQ114" i="3"/>
  <c r="AR114" i="3"/>
  <c r="AD87" i="3"/>
  <c r="AE87" i="3"/>
  <c r="AF87" i="3"/>
  <c r="AG87" i="3"/>
  <c r="AO87" i="3"/>
  <c r="AP87" i="3"/>
  <c r="AQ87" i="3"/>
  <c r="AR87" i="3"/>
  <c r="AS87" i="3"/>
  <c r="AD90" i="3"/>
  <c r="AE90" i="3"/>
  <c r="AF90" i="3"/>
  <c r="AG90" i="3"/>
  <c r="AP90" i="3"/>
  <c r="AQ90" i="3"/>
  <c r="AR90" i="3"/>
  <c r="AU48" i="4"/>
  <c r="AV48" i="4" s="1"/>
  <c r="AR276" i="1"/>
  <c r="AE30" i="1"/>
  <c r="AG30" i="1"/>
  <c r="AQ30" i="1"/>
  <c r="AR30" i="1"/>
  <c r="AQ255" i="1"/>
  <c r="AQ265" i="1"/>
  <c r="AH252" i="1"/>
  <c r="AE27" i="1"/>
  <c r="AF27" i="1"/>
  <c r="AG27" i="1"/>
  <c r="AQ27" i="1"/>
  <c r="AR27" i="1"/>
  <c r="AP35" i="2"/>
  <c r="AU35" i="2" s="1"/>
  <c r="AV35" i="2" s="1"/>
  <c r="AH35" i="2" s="1"/>
  <c r="AJ35" i="2" s="1"/>
  <c r="AK35" i="2" s="1"/>
  <c r="AP240" i="1"/>
  <c r="AE23" i="1"/>
  <c r="AF23" i="1"/>
  <c r="AG23" i="1"/>
  <c r="AO23" i="1"/>
  <c r="AQ23" i="1"/>
  <c r="AR23" i="1"/>
  <c r="AS23" i="1"/>
  <c r="AO223" i="1"/>
  <c r="AP223" i="1"/>
  <c r="AD30" i="2"/>
  <c r="AE30" i="2"/>
  <c r="AH184" i="1"/>
  <c r="AE171" i="1"/>
  <c r="AF171" i="1"/>
  <c r="AR171" i="1"/>
  <c r="AE177" i="1"/>
  <c r="AF177" i="1"/>
  <c r="AG177" i="1"/>
  <c r="AR177" i="1"/>
  <c r="AO134" i="1"/>
  <c r="AP134" i="1"/>
  <c r="AQ134" i="1"/>
  <c r="AR134" i="1"/>
  <c r="AE127" i="1"/>
  <c r="AF127" i="1"/>
  <c r="AG127" i="1"/>
  <c r="AP127" i="1"/>
  <c r="AQ127" i="1"/>
  <c r="AR127" i="1"/>
  <c r="AF121" i="1"/>
  <c r="AG121" i="1"/>
  <c r="AQ121" i="1"/>
  <c r="AR121" i="1"/>
  <c r="AE122" i="1"/>
  <c r="AF122" i="1"/>
  <c r="AE74" i="1"/>
  <c r="AF74" i="1"/>
  <c r="AG74" i="1"/>
  <c r="AQ74" i="1"/>
  <c r="AE82" i="1"/>
  <c r="AF82" i="1"/>
  <c r="AG82" i="1"/>
  <c r="AQ82" i="1"/>
  <c r="AR82" i="1"/>
  <c r="AE11" i="1"/>
  <c r="AF11" i="1"/>
  <c r="AG11" i="1"/>
  <c r="AI11" i="1"/>
  <c r="AO11" i="1"/>
  <c r="AP11" i="1"/>
  <c r="AQ11" i="1"/>
  <c r="AR11" i="1"/>
  <c r="AD18" i="2"/>
  <c r="AJ18" i="2" s="1"/>
  <c r="AK18" i="2" s="1"/>
  <c r="AO56" i="1"/>
  <c r="AP56" i="1"/>
  <c r="AR56" i="1"/>
  <c r="AS56" i="1"/>
  <c r="Y54" i="1"/>
  <c r="AA54" i="1" s="1"/>
  <c r="AB54" i="1" s="1"/>
  <c r="AE47" i="1"/>
  <c r="AF47" i="1"/>
  <c r="AG47" i="1"/>
  <c r="AQ47" i="1"/>
  <c r="N195" i="6" l="1"/>
  <c r="P195" i="6" s="1"/>
  <c r="Q195" i="6" s="1"/>
  <c r="D195" i="6" s="1"/>
  <c r="N173" i="6"/>
  <c r="P173" i="6" s="1"/>
  <c r="Q173" i="6" s="1"/>
  <c r="D173" i="6" s="1"/>
  <c r="N112" i="6"/>
  <c r="P112" i="6" s="1"/>
  <c r="Q112" i="6" s="1"/>
  <c r="D112" i="6" s="1"/>
  <c r="N158" i="6"/>
  <c r="P158" i="6" s="1"/>
  <c r="Q158" i="6" s="1"/>
  <c r="D158" i="6" s="1"/>
  <c r="N287" i="6"/>
  <c r="P287" i="6" s="1"/>
  <c r="Q287" i="6" s="1"/>
  <c r="D287" i="6" s="1"/>
  <c r="N140" i="6"/>
  <c r="P140" i="6" s="1"/>
  <c r="Q140" i="6" s="1"/>
  <c r="D140" i="6" s="1"/>
  <c r="N262" i="6"/>
  <c r="P262" i="6" s="1"/>
  <c r="Q262" i="6" s="1"/>
  <c r="D262" i="6" s="1"/>
  <c r="N90" i="6"/>
  <c r="P90" i="6" s="1"/>
  <c r="Q90" i="6" s="1"/>
  <c r="D90" i="6" s="1"/>
  <c r="N197" i="6"/>
  <c r="P197" i="6" s="1"/>
  <c r="Q197" i="6" s="1"/>
  <c r="D197" i="6" s="1"/>
  <c r="N104" i="6"/>
  <c r="P104" i="6" s="1"/>
  <c r="Q104" i="6" s="1"/>
  <c r="D104" i="6" s="1"/>
  <c r="N43" i="6"/>
  <c r="P43" i="6" s="1"/>
  <c r="Q43" i="6" s="1"/>
  <c r="D43" i="6" s="1"/>
  <c r="N166" i="6"/>
  <c r="P166" i="6" s="1"/>
  <c r="Q166" i="6" s="1"/>
  <c r="D166" i="6" s="1"/>
  <c r="N147" i="6"/>
  <c r="P147" i="6" s="1"/>
  <c r="Q147" i="6" s="1"/>
  <c r="D147" i="6" s="1"/>
  <c r="N226" i="6"/>
  <c r="P226" i="6" s="1"/>
  <c r="Q226" i="6" s="1"/>
  <c r="D226" i="6" s="1"/>
  <c r="N8" i="6"/>
  <c r="P8" i="6" s="1"/>
  <c r="Q8" i="6" s="1"/>
  <c r="D8" i="6" s="1"/>
  <c r="N274" i="6"/>
  <c r="P274" i="6" s="1"/>
  <c r="Q274" i="6" s="1"/>
  <c r="D274" i="6" s="1"/>
  <c r="N209" i="6"/>
  <c r="P209" i="6" s="1"/>
  <c r="Q209" i="6" s="1"/>
  <c r="D209" i="6" s="1"/>
  <c r="N184" i="6"/>
  <c r="P184" i="6" s="1"/>
  <c r="Q184" i="6" s="1"/>
  <c r="D184" i="6" s="1"/>
  <c r="N151" i="6"/>
  <c r="P151" i="6" s="1"/>
  <c r="Q151" i="6" s="1"/>
  <c r="D151" i="6" s="1"/>
  <c r="N259" i="6"/>
  <c r="P259" i="6" s="1"/>
  <c r="Q259" i="6" s="1"/>
  <c r="D259" i="6" s="1"/>
  <c r="N216" i="6"/>
  <c r="P216" i="6" s="1"/>
  <c r="Q216" i="6" s="1"/>
  <c r="D216" i="6" s="1"/>
  <c r="N285" i="6"/>
  <c r="P285" i="6" s="1"/>
  <c r="Q285" i="6" s="1"/>
  <c r="D285" i="6" s="1"/>
  <c r="N222" i="6"/>
  <c r="P222" i="6" s="1"/>
  <c r="Q222" i="6" s="1"/>
  <c r="D222" i="6" s="1"/>
  <c r="N116" i="6"/>
  <c r="P116" i="6" s="1"/>
  <c r="Q116" i="6" s="1"/>
  <c r="D116" i="6" s="1"/>
  <c r="N237" i="6"/>
  <c r="P237" i="6" s="1"/>
  <c r="Q237" i="6" s="1"/>
  <c r="D237" i="6" s="1"/>
  <c r="N35" i="6"/>
  <c r="P35" i="6" s="1"/>
  <c r="Q35" i="6" s="1"/>
  <c r="D35" i="6" s="1"/>
  <c r="N155" i="6"/>
  <c r="P155" i="6" s="1"/>
  <c r="Q155" i="6" s="1"/>
  <c r="D155" i="6" s="1"/>
  <c r="N235" i="6"/>
  <c r="P235" i="6" s="1"/>
  <c r="Q235" i="6" s="1"/>
  <c r="D235" i="6" s="1"/>
  <c r="N217" i="6"/>
  <c r="P217" i="6" s="1"/>
  <c r="Q217" i="6" s="1"/>
  <c r="D217" i="6" s="1"/>
  <c r="N54" i="1"/>
  <c r="P54" i="1" s="1"/>
  <c r="Q54" i="1" s="1"/>
  <c r="D54" i="1" s="1"/>
  <c r="Y18" i="2"/>
  <c r="AA18" i="2" s="1"/>
  <c r="AB18" i="2" s="1"/>
  <c r="Y35" i="2"/>
  <c r="AA35" i="2" s="1"/>
  <c r="AB35" i="2" s="1"/>
  <c r="AJ184" i="1"/>
  <c r="AK184" i="1" s="1"/>
  <c r="Y184" i="1" s="1"/>
  <c r="AA184" i="1" s="1"/>
  <c r="AB184" i="1" s="1"/>
  <c r="AJ252" i="1"/>
  <c r="AK252" i="1" s="1"/>
  <c r="Y252" i="1" s="1"/>
  <c r="AA252" i="1" s="1"/>
  <c r="AB252" i="1" s="1"/>
  <c r="AJ122" i="1"/>
  <c r="AK122" i="1" s="1"/>
  <c r="Y122" i="1" s="1"/>
  <c r="AA122" i="1" s="1"/>
  <c r="AB122" i="1" s="1"/>
  <c r="AJ197" i="3"/>
  <c r="AK197" i="3" s="1"/>
  <c r="AJ377" i="3"/>
  <c r="AK377" i="3" s="1"/>
  <c r="AJ14" i="3"/>
  <c r="AK14" i="3" s="1"/>
  <c r="AJ27" i="3"/>
  <c r="AK27" i="3" s="1"/>
  <c r="AJ46" i="3"/>
  <c r="AK46" i="3" s="1"/>
  <c r="AJ160" i="3"/>
  <c r="AK160" i="3" s="1"/>
  <c r="AJ217" i="3"/>
  <c r="AK217" i="3" s="1"/>
  <c r="AJ30" i="3"/>
  <c r="AK30" i="3" s="1"/>
  <c r="AJ449" i="3"/>
  <c r="AK449" i="3" s="1"/>
  <c r="AJ212" i="3"/>
  <c r="AK212" i="3" s="1"/>
  <c r="AJ6" i="3"/>
  <c r="AK6" i="3" s="1"/>
  <c r="AJ384" i="3"/>
  <c r="AK384" i="3" s="1"/>
  <c r="AJ23" i="3"/>
  <c r="AK23" i="3" s="1"/>
  <c r="AJ294" i="3"/>
  <c r="AK294" i="3" s="1"/>
  <c r="AJ182" i="3"/>
  <c r="AK182" i="3" s="1"/>
  <c r="AJ209" i="3"/>
  <c r="AK209" i="3" s="1"/>
  <c r="AJ169" i="3"/>
  <c r="AK169" i="3" s="1"/>
  <c r="AJ144" i="3"/>
  <c r="AK144" i="3" s="1"/>
  <c r="AJ205" i="3"/>
  <c r="AK205" i="3" s="1"/>
  <c r="AJ228" i="3"/>
  <c r="AK228" i="3" s="1"/>
  <c r="AJ303" i="3"/>
  <c r="AK303" i="3" s="1"/>
  <c r="AJ25" i="3"/>
  <c r="AK25" i="3" s="1"/>
  <c r="AJ259" i="3"/>
  <c r="AK259" i="3" s="1"/>
  <c r="AJ391" i="3"/>
  <c r="AK391" i="3" s="1"/>
  <c r="AJ12" i="3"/>
  <c r="AK12" i="3" s="1"/>
  <c r="AU82" i="1"/>
  <c r="AV82" i="1" s="1"/>
  <c r="AH82" i="1" s="1"/>
  <c r="AJ82" i="1" s="1"/>
  <c r="AK82" i="1" s="1"/>
  <c r="AU56" i="1"/>
  <c r="AV56" i="1" s="1"/>
  <c r="AH56" i="1" s="1"/>
  <c r="AU223" i="1"/>
  <c r="AV223" i="1" s="1"/>
  <c r="AH223" i="1" s="1"/>
  <c r="AU177" i="1"/>
  <c r="AV177" i="1" s="1"/>
  <c r="AH177" i="1" s="1"/>
  <c r="AU121" i="1"/>
  <c r="AV121" i="1" s="1"/>
  <c r="AH121" i="1" s="1"/>
  <c r="AU30" i="1"/>
  <c r="AV30" i="1" s="1"/>
  <c r="AH30" i="1" s="1"/>
  <c r="AJ30" i="1" s="1"/>
  <c r="AK30" i="1" s="1"/>
  <c r="AU27" i="1"/>
  <c r="AV27" i="1" s="1"/>
  <c r="AH27" i="1" s="1"/>
  <c r="AJ27" i="1" s="1"/>
  <c r="AK27" i="1" s="1"/>
  <c r="AU74" i="1"/>
  <c r="AV74" i="1" s="1"/>
  <c r="AH74" i="1" s="1"/>
  <c r="AU255" i="1"/>
  <c r="AV255" i="1" s="1"/>
  <c r="AH255" i="1" s="1"/>
  <c r="AU23" i="1"/>
  <c r="AV23" i="1" s="1"/>
  <c r="AH23" i="1" s="1"/>
  <c r="AU47" i="1"/>
  <c r="AV47" i="1" s="1"/>
  <c r="AH47" i="1" s="1"/>
  <c r="AJ47" i="1" s="1"/>
  <c r="AK47" i="1" s="1"/>
  <c r="AU265" i="1"/>
  <c r="AV265" i="1" s="1"/>
  <c r="AH265" i="1" s="1"/>
  <c r="AU134" i="1"/>
  <c r="AV134" i="1" s="1"/>
  <c r="AH134" i="1" s="1"/>
  <c r="AU11" i="1"/>
  <c r="AV11" i="1" s="1"/>
  <c r="AH11" i="1" s="1"/>
  <c r="AU171" i="1"/>
  <c r="AV171" i="1" s="1"/>
  <c r="AH171" i="1" s="1"/>
  <c r="AJ171" i="1" s="1"/>
  <c r="AK171" i="1" s="1"/>
  <c r="AU127" i="1"/>
  <c r="AV127" i="1" s="1"/>
  <c r="AH127" i="1" s="1"/>
  <c r="AJ127" i="1" s="1"/>
  <c r="AK127" i="1" s="1"/>
  <c r="AU240" i="1"/>
  <c r="AV240" i="1" s="1"/>
  <c r="AH240" i="1" s="1"/>
  <c r="AU276" i="1"/>
  <c r="AV276" i="1" s="1"/>
  <c r="AH276" i="1" s="1"/>
  <c r="AU145" i="6"/>
  <c r="AV145" i="6" s="1"/>
  <c r="AH145" i="6" s="1"/>
  <c r="AJ145" i="6" s="1"/>
  <c r="AK28" i="4"/>
  <c r="AU18" i="4"/>
  <c r="AV18" i="4" s="1"/>
  <c r="AH18" i="4" s="1"/>
  <c r="AJ18" i="4" s="1"/>
  <c r="AK18" i="4" s="1"/>
  <c r="AK306" i="3"/>
  <c r="AK415" i="3"/>
  <c r="AK319" i="3"/>
  <c r="AK117" i="3"/>
  <c r="AK270" i="3"/>
  <c r="AK156" i="3"/>
  <c r="AK313" i="3"/>
  <c r="AK76" i="3"/>
  <c r="AK409" i="3"/>
  <c r="AK253" i="3"/>
  <c r="AK418" i="3"/>
  <c r="AK461" i="3"/>
  <c r="AJ30" i="4"/>
  <c r="AK30" i="4" s="1"/>
  <c r="AU12" i="4"/>
  <c r="AV12" i="4" s="1"/>
  <c r="AH12" i="4" s="1"/>
  <c r="AJ12" i="4" s="1"/>
  <c r="AK12" i="4" s="1"/>
  <c r="AJ30" i="2"/>
  <c r="AK30" i="2" s="1"/>
  <c r="AU423" i="3"/>
  <c r="AV423" i="3" s="1"/>
  <c r="AH423" i="3" s="1"/>
  <c r="AJ423" i="3" s="1"/>
  <c r="AU426" i="3"/>
  <c r="AV426" i="3" s="1"/>
  <c r="AH426" i="3" s="1"/>
  <c r="AU416" i="3"/>
  <c r="AV416" i="3" s="1"/>
  <c r="AH416" i="3" s="1"/>
  <c r="AJ416" i="3" s="1"/>
  <c r="AU322" i="3"/>
  <c r="AV322" i="3" s="1"/>
  <c r="AH322" i="3" s="1"/>
  <c r="AJ322" i="3" s="1"/>
  <c r="AU336" i="3"/>
  <c r="AV336" i="3" s="1"/>
  <c r="AH336" i="3" s="1"/>
  <c r="AJ336" i="3" s="1"/>
  <c r="AU291" i="3"/>
  <c r="AV291" i="3" s="1"/>
  <c r="AH291" i="3" s="1"/>
  <c r="AJ291" i="3" s="1"/>
  <c r="AU146" i="3"/>
  <c r="AV146" i="3" s="1"/>
  <c r="AH146" i="3" s="1"/>
  <c r="AJ146" i="3" s="1"/>
  <c r="AU106" i="3"/>
  <c r="AV106" i="3" s="1"/>
  <c r="AH106" i="3" s="1"/>
  <c r="AJ106" i="3" s="1"/>
  <c r="AU66" i="3"/>
  <c r="AV66" i="3" s="1"/>
  <c r="AH66" i="3" s="1"/>
  <c r="AJ66" i="3" s="1"/>
  <c r="AU95" i="3"/>
  <c r="AV95" i="3" s="1"/>
  <c r="AH95" i="3" s="1"/>
  <c r="AJ95" i="3" s="1"/>
  <c r="AU41" i="3"/>
  <c r="AV41" i="3" s="1"/>
  <c r="AH41" i="3" s="1"/>
  <c r="AJ41" i="3" s="1"/>
  <c r="AK41" i="3" s="1"/>
  <c r="AU114" i="3"/>
  <c r="AV114" i="3" s="1"/>
  <c r="AH114" i="3" s="1"/>
  <c r="AJ114" i="3" s="1"/>
  <c r="AU87" i="3"/>
  <c r="AV87" i="3" s="1"/>
  <c r="AH87" i="3" s="1"/>
  <c r="AJ87" i="3" s="1"/>
  <c r="AU9" i="3"/>
  <c r="AV9" i="3" s="1"/>
  <c r="AH9" i="3" s="1"/>
  <c r="AJ9" i="3" s="1"/>
  <c r="AU8" i="3"/>
  <c r="AV8" i="3" s="1"/>
  <c r="AH8" i="3" s="1"/>
  <c r="AJ8" i="3" s="1"/>
  <c r="AU183" i="3"/>
  <c r="AV183" i="3" s="1"/>
  <c r="AH183" i="3" s="1"/>
  <c r="AU90" i="3"/>
  <c r="AV90" i="3" s="1"/>
  <c r="AH90" i="3" s="1"/>
  <c r="AJ90" i="3" s="1"/>
  <c r="AD16" i="3"/>
  <c r="AD340" i="3"/>
  <c r="AD436" i="3"/>
  <c r="AD33" i="3"/>
  <c r="AD200" i="3"/>
  <c r="AD268" i="3"/>
  <c r="AD29" i="3"/>
  <c r="AD356" i="3"/>
  <c r="AD129" i="3"/>
  <c r="AD381" i="3"/>
  <c r="AD86" i="6"/>
  <c r="AD31" i="6"/>
  <c r="AD17" i="6"/>
  <c r="AD9" i="6"/>
  <c r="AD7" i="6"/>
  <c r="AD85" i="6"/>
  <c r="AJ85" i="6" s="1"/>
  <c r="AD36" i="6"/>
  <c r="AD45" i="4"/>
  <c r="AD21" i="2"/>
  <c r="AD295" i="3"/>
  <c r="AD275" i="3"/>
  <c r="AD332" i="3"/>
  <c r="AD430" i="3"/>
  <c r="AD288" i="3"/>
  <c r="AD191" i="3"/>
  <c r="AD13" i="3"/>
  <c r="AE35" i="1"/>
  <c r="AE6" i="1"/>
  <c r="AE55" i="1"/>
  <c r="AE9" i="1"/>
  <c r="AE80" i="1"/>
  <c r="AE84" i="1"/>
  <c r="AE14" i="1"/>
  <c r="AE16" i="1"/>
  <c r="AE147" i="1"/>
  <c r="AE20" i="1"/>
  <c r="AE22" i="1"/>
  <c r="AE24" i="1"/>
  <c r="AE61" i="1"/>
  <c r="AE110" i="1"/>
  <c r="AE181" i="1"/>
  <c r="AE182" i="1"/>
  <c r="AE280" i="1"/>
  <c r="AE198" i="6"/>
  <c r="AE211" i="6"/>
  <c r="AE52" i="6"/>
  <c r="AE33" i="3"/>
  <c r="AE340" i="3"/>
  <c r="AE406" i="3"/>
  <c r="AE268" i="3"/>
  <c r="AE200" i="3"/>
  <c r="AE436" i="3"/>
  <c r="AE356" i="3"/>
  <c r="AE16" i="3"/>
  <c r="AE146" i="6"/>
  <c r="AE61" i="6"/>
  <c r="AE9" i="6"/>
  <c r="AE10" i="6"/>
  <c r="AE6" i="6"/>
  <c r="AE97" i="6"/>
  <c r="AE125" i="6"/>
  <c r="AE311" i="6"/>
  <c r="AE36" i="6"/>
  <c r="AE40" i="4"/>
  <c r="AE45" i="4"/>
  <c r="AE428" i="3"/>
  <c r="AE108" i="3"/>
  <c r="AE20" i="3"/>
  <c r="AE234" i="3"/>
  <c r="AE430" i="3"/>
  <c r="AE288" i="3"/>
  <c r="AE414" i="3"/>
  <c r="AE13" i="3"/>
  <c r="AE342" i="3"/>
  <c r="AE177" i="3"/>
  <c r="AE198" i="3"/>
  <c r="AE347" i="3"/>
  <c r="AE129" i="3"/>
  <c r="AE134" i="3"/>
  <c r="AE191" i="3"/>
  <c r="AE38" i="2"/>
  <c r="AE8" i="2"/>
  <c r="AE16" i="5"/>
  <c r="AE46" i="5"/>
  <c r="AE31" i="5"/>
  <c r="AE47" i="5"/>
  <c r="AE42" i="5"/>
  <c r="AE32" i="5"/>
  <c r="N35" i="2" l="1"/>
  <c r="P35" i="2" s="1"/>
  <c r="Q35" i="2" s="1"/>
  <c r="D35" i="2" s="1"/>
  <c r="N18" i="2"/>
  <c r="P18" i="2" s="1"/>
  <c r="Q18" i="2" s="1"/>
  <c r="D18" i="2" s="1"/>
  <c r="N252" i="1"/>
  <c r="P252" i="1" s="1"/>
  <c r="Q252" i="1" s="1"/>
  <c r="D252" i="1" s="1"/>
  <c r="N184" i="1"/>
  <c r="P184" i="1" s="1"/>
  <c r="Q184" i="1" s="1"/>
  <c r="D184" i="1" s="1"/>
  <c r="N122" i="1"/>
  <c r="P122" i="1" s="1"/>
  <c r="Q122" i="1" s="1"/>
  <c r="D122" i="1" s="1"/>
  <c r="Y30" i="4"/>
  <c r="AA30" i="4" s="1"/>
  <c r="AB30" i="4" s="1"/>
  <c r="Y28" i="4"/>
  <c r="AA28" i="4" s="1"/>
  <c r="AB28" i="4" s="1"/>
  <c r="Y12" i="4"/>
  <c r="AA12" i="4" s="1"/>
  <c r="AB12" i="4" s="1"/>
  <c r="Y18" i="4"/>
  <c r="AA18" i="4" s="1"/>
  <c r="AB18" i="4" s="1"/>
  <c r="Y259" i="3"/>
  <c r="AA259" i="3" s="1"/>
  <c r="AB259" i="3" s="1"/>
  <c r="N259" i="3" s="1"/>
  <c r="P259" i="3" s="1"/>
  <c r="Q259" i="3" s="1"/>
  <c r="D259" i="3" s="1"/>
  <c r="Y313" i="3"/>
  <c r="AA313" i="3" s="1"/>
  <c r="AB313" i="3" s="1"/>
  <c r="N313" i="3" s="1"/>
  <c r="P313" i="3" s="1"/>
  <c r="Q313" i="3" s="1"/>
  <c r="D313" i="3" s="1"/>
  <c r="Y156" i="3"/>
  <c r="AA156" i="3" s="1"/>
  <c r="AB156" i="3" s="1"/>
  <c r="N156" i="3" s="1"/>
  <c r="P156" i="3" s="1"/>
  <c r="Q156" i="3" s="1"/>
  <c r="D156" i="3" s="1"/>
  <c r="Y12" i="3"/>
  <c r="AA12" i="3" s="1"/>
  <c r="AB12" i="3" s="1"/>
  <c r="N12" i="3" s="1"/>
  <c r="P12" i="3" s="1"/>
  <c r="Q12" i="3" s="1"/>
  <c r="D12" i="3" s="1"/>
  <c r="Y415" i="3"/>
  <c r="AA415" i="3" s="1"/>
  <c r="AB415" i="3" s="1"/>
  <c r="N415" i="3" s="1"/>
  <c r="P415" i="3" s="1"/>
  <c r="Q415" i="3" s="1"/>
  <c r="D415" i="3" s="1"/>
  <c r="Y144" i="3"/>
  <c r="AA144" i="3" s="1"/>
  <c r="AB144" i="3" s="1"/>
  <c r="N144" i="3" s="1"/>
  <c r="P144" i="3" s="1"/>
  <c r="Q144" i="3" s="1"/>
  <c r="D144" i="3" s="1"/>
  <c r="Y212" i="3"/>
  <c r="AA212" i="3" s="1"/>
  <c r="AB212" i="3" s="1"/>
  <c r="N212" i="3" s="1"/>
  <c r="P212" i="3" s="1"/>
  <c r="Q212" i="3" s="1"/>
  <c r="D212" i="3" s="1"/>
  <c r="Y30" i="3"/>
  <c r="AA30" i="3" s="1"/>
  <c r="AB30" i="3" s="1"/>
  <c r="N30" i="3" s="1"/>
  <c r="P30" i="3" s="1"/>
  <c r="Q30" i="3" s="1"/>
  <c r="D30" i="3" s="1"/>
  <c r="Y25" i="3"/>
  <c r="AA25" i="3" s="1"/>
  <c r="AB25" i="3" s="1"/>
  <c r="N25" i="3" s="1"/>
  <c r="P25" i="3" s="1"/>
  <c r="Q25" i="3" s="1"/>
  <c r="D25" i="3" s="1"/>
  <c r="Y160" i="3"/>
  <c r="AA160" i="3" s="1"/>
  <c r="AB160" i="3" s="1"/>
  <c r="N160" i="3" s="1"/>
  <c r="P160" i="3" s="1"/>
  <c r="Q160" i="3" s="1"/>
  <c r="D160" i="3" s="1"/>
  <c r="Y270" i="3"/>
  <c r="AA270" i="3" s="1"/>
  <c r="AB270" i="3" s="1"/>
  <c r="N270" i="3" s="1"/>
  <c r="P270" i="3" s="1"/>
  <c r="Q270" i="3" s="1"/>
  <c r="D270" i="3" s="1"/>
  <c r="Y228" i="3"/>
  <c r="AA228" i="3" s="1"/>
  <c r="AB228" i="3" s="1"/>
  <c r="N228" i="3" s="1"/>
  <c r="P228" i="3" s="1"/>
  <c r="Q228" i="3" s="1"/>
  <c r="D228" i="3" s="1"/>
  <c r="Y319" i="3"/>
  <c r="AA319" i="3" s="1"/>
  <c r="AB319" i="3" s="1"/>
  <c r="N319" i="3" s="1"/>
  <c r="P319" i="3" s="1"/>
  <c r="Q319" i="3" s="1"/>
  <c r="D319" i="3" s="1"/>
  <c r="Y41" i="3"/>
  <c r="AA41" i="3" s="1"/>
  <c r="AB41" i="3" s="1"/>
  <c r="N41" i="3" s="1"/>
  <c r="P41" i="3" s="1"/>
  <c r="Q41" i="3" s="1"/>
  <c r="D41" i="3" s="1"/>
  <c r="Y197" i="3"/>
  <c r="AA197" i="3" s="1"/>
  <c r="AB197" i="3" s="1"/>
  <c r="N197" i="3" s="1"/>
  <c r="P197" i="3" s="1"/>
  <c r="Q197" i="3" s="1"/>
  <c r="D197" i="3" s="1"/>
  <c r="Y418" i="3"/>
  <c r="AA418" i="3" s="1"/>
  <c r="AB418" i="3" s="1"/>
  <c r="N418" i="3" s="1"/>
  <c r="P418" i="3" s="1"/>
  <c r="Q418" i="3" s="1"/>
  <c r="D418" i="3" s="1"/>
  <c r="Y294" i="3"/>
  <c r="AA294" i="3" s="1"/>
  <c r="AB294" i="3" s="1"/>
  <c r="N294" i="3" s="1"/>
  <c r="P294" i="3" s="1"/>
  <c r="Q294" i="3" s="1"/>
  <c r="D294" i="3" s="1"/>
  <c r="Y409" i="3"/>
  <c r="AA409" i="3" s="1"/>
  <c r="AB409" i="3" s="1"/>
  <c r="N409" i="3" s="1"/>
  <c r="P409" i="3" s="1"/>
  <c r="Q409" i="3" s="1"/>
  <c r="D409" i="3" s="1"/>
  <c r="Y76" i="3"/>
  <c r="AA76" i="3" s="1"/>
  <c r="AB76" i="3" s="1"/>
  <c r="N76" i="3" s="1"/>
  <c r="P76" i="3" s="1"/>
  <c r="Q76" i="3" s="1"/>
  <c r="D76" i="3" s="1"/>
  <c r="Y449" i="3"/>
  <c r="AA449" i="3" s="1"/>
  <c r="AB449" i="3" s="1"/>
  <c r="N449" i="3" s="1"/>
  <c r="P449" i="3" s="1"/>
  <c r="Q449" i="3" s="1"/>
  <c r="D449" i="3" s="1"/>
  <c r="Y391" i="3"/>
  <c r="AA391" i="3" s="1"/>
  <c r="AB391" i="3" s="1"/>
  <c r="N391" i="3" s="1"/>
  <c r="P391" i="3" s="1"/>
  <c r="Q391" i="3" s="1"/>
  <c r="D391" i="3" s="1"/>
  <c r="Y217" i="3"/>
  <c r="AA217" i="3" s="1"/>
  <c r="AB217" i="3" s="1"/>
  <c r="N217" i="3" s="1"/>
  <c r="P217" i="3" s="1"/>
  <c r="Q217" i="3" s="1"/>
  <c r="D217" i="3" s="1"/>
  <c r="Y46" i="3"/>
  <c r="AA46" i="3" s="1"/>
  <c r="AB46" i="3" s="1"/>
  <c r="N46" i="3" s="1"/>
  <c r="P46" i="3" s="1"/>
  <c r="Q46" i="3" s="1"/>
  <c r="D46" i="3" s="1"/>
  <c r="Y27" i="3"/>
  <c r="AA27" i="3" s="1"/>
  <c r="AB27" i="3" s="1"/>
  <c r="N27" i="3" s="1"/>
  <c r="P27" i="3" s="1"/>
  <c r="Q27" i="3" s="1"/>
  <c r="D27" i="3" s="1"/>
  <c r="Y205" i="3"/>
  <c r="AA205" i="3" s="1"/>
  <c r="AB205" i="3" s="1"/>
  <c r="N205" i="3" s="1"/>
  <c r="P205" i="3" s="1"/>
  <c r="Q205" i="3" s="1"/>
  <c r="D205" i="3" s="1"/>
  <c r="Y306" i="3"/>
  <c r="AA306" i="3" s="1"/>
  <c r="AB306" i="3" s="1"/>
  <c r="N306" i="3" s="1"/>
  <c r="P306" i="3" s="1"/>
  <c r="Q306" i="3" s="1"/>
  <c r="D306" i="3" s="1"/>
  <c r="Y169" i="3"/>
  <c r="AA169" i="3" s="1"/>
  <c r="AB169" i="3" s="1"/>
  <c r="N169" i="3" s="1"/>
  <c r="P169" i="3" s="1"/>
  <c r="Q169" i="3" s="1"/>
  <c r="D169" i="3" s="1"/>
  <c r="Y209" i="3"/>
  <c r="AA209" i="3" s="1"/>
  <c r="AB209" i="3" s="1"/>
  <c r="N209" i="3" s="1"/>
  <c r="P209" i="3" s="1"/>
  <c r="Q209" i="3" s="1"/>
  <c r="D209" i="3" s="1"/>
  <c r="Y182" i="3"/>
  <c r="AA182" i="3" s="1"/>
  <c r="AB182" i="3" s="1"/>
  <c r="N182" i="3" s="1"/>
  <c r="P182" i="3" s="1"/>
  <c r="Q182" i="3" s="1"/>
  <c r="D182" i="3" s="1"/>
  <c r="Y253" i="3"/>
  <c r="AA253" i="3" s="1"/>
  <c r="AB253" i="3" s="1"/>
  <c r="N253" i="3" s="1"/>
  <c r="P253" i="3" s="1"/>
  <c r="Q253" i="3" s="1"/>
  <c r="D253" i="3" s="1"/>
  <c r="Y23" i="3"/>
  <c r="AA23" i="3" s="1"/>
  <c r="AB23" i="3" s="1"/>
  <c r="N23" i="3" s="1"/>
  <c r="P23" i="3" s="1"/>
  <c r="Q23" i="3" s="1"/>
  <c r="D23" i="3" s="1"/>
  <c r="Y6" i="3"/>
  <c r="AA6" i="3" s="1"/>
  <c r="AB6" i="3" s="1"/>
  <c r="N6" i="3" s="1"/>
  <c r="P6" i="3" s="1"/>
  <c r="Q6" i="3" s="1"/>
  <c r="D6" i="3" s="1"/>
  <c r="Y377" i="3"/>
  <c r="AA377" i="3" s="1"/>
  <c r="AB377" i="3" s="1"/>
  <c r="N377" i="3" s="1"/>
  <c r="P377" i="3" s="1"/>
  <c r="Q377" i="3" s="1"/>
  <c r="D377" i="3" s="1"/>
  <c r="Y303" i="3"/>
  <c r="AA303" i="3" s="1"/>
  <c r="AB303" i="3" s="1"/>
  <c r="N303" i="3" s="1"/>
  <c r="P303" i="3" s="1"/>
  <c r="Q303" i="3" s="1"/>
  <c r="D303" i="3" s="1"/>
  <c r="Y117" i="3"/>
  <c r="AA117" i="3" s="1"/>
  <c r="AB117" i="3" s="1"/>
  <c r="N117" i="3" s="1"/>
  <c r="P117" i="3" s="1"/>
  <c r="Q117" i="3" s="1"/>
  <c r="D117" i="3" s="1"/>
  <c r="Y14" i="3"/>
  <c r="AA14" i="3" s="1"/>
  <c r="AB14" i="3" s="1"/>
  <c r="N14" i="3" s="1"/>
  <c r="P14" i="3" s="1"/>
  <c r="Q14" i="3" s="1"/>
  <c r="D14" i="3" s="1"/>
  <c r="Y461" i="3"/>
  <c r="AA461" i="3" s="1"/>
  <c r="AB461" i="3" s="1"/>
  <c r="N461" i="3" s="1"/>
  <c r="P461" i="3" s="1"/>
  <c r="Q461" i="3" s="1"/>
  <c r="D461" i="3" s="1"/>
  <c r="Y384" i="3"/>
  <c r="AA384" i="3" s="1"/>
  <c r="AB384" i="3" s="1"/>
  <c r="N384" i="3" s="1"/>
  <c r="P384" i="3" s="1"/>
  <c r="Q384" i="3" s="1"/>
  <c r="D384" i="3" s="1"/>
  <c r="Y30" i="2"/>
  <c r="AA30" i="2" s="1"/>
  <c r="AB30" i="2" s="1"/>
  <c r="AJ240" i="1"/>
  <c r="AK240" i="1" s="1"/>
  <c r="Y240" i="1" s="1"/>
  <c r="AA240" i="1" s="1"/>
  <c r="AB240" i="1" s="1"/>
  <c r="AJ56" i="1"/>
  <c r="AK56" i="1" s="1"/>
  <c r="Y56" i="1" s="1"/>
  <c r="AA56" i="1" s="1"/>
  <c r="AB56" i="1" s="1"/>
  <c r="Y171" i="1"/>
  <c r="AA171" i="1" s="1"/>
  <c r="AB171" i="1" s="1"/>
  <c r="AJ223" i="1"/>
  <c r="AK223" i="1" s="1"/>
  <c r="Y223" i="1" s="1"/>
  <c r="AA223" i="1" s="1"/>
  <c r="AB223" i="1" s="1"/>
  <c r="AJ177" i="1"/>
  <c r="AK177" i="1" s="1"/>
  <c r="Y177" i="1" s="1"/>
  <c r="AA177" i="1" s="1"/>
  <c r="AB177" i="1" s="1"/>
  <c r="AJ11" i="1"/>
  <c r="AK11" i="1" s="1"/>
  <c r="Y11" i="1" s="1"/>
  <c r="AA11" i="1" s="1"/>
  <c r="AB11" i="1" s="1"/>
  <c r="AJ23" i="1"/>
  <c r="AK23" i="1" s="1"/>
  <c r="Y23" i="1" s="1"/>
  <c r="AA23" i="1" s="1"/>
  <c r="AB23" i="1" s="1"/>
  <c r="Y127" i="1"/>
  <c r="AA127" i="1" s="1"/>
  <c r="AB127" i="1" s="1"/>
  <c r="AJ265" i="1"/>
  <c r="AK265" i="1" s="1"/>
  <c r="Y265" i="1" s="1"/>
  <c r="AA265" i="1" s="1"/>
  <c r="AB265" i="1" s="1"/>
  <c r="Y47" i="1"/>
  <c r="AA47" i="1" s="1"/>
  <c r="AB47" i="1" s="1"/>
  <c r="AJ255" i="1"/>
  <c r="AK255" i="1" s="1"/>
  <c r="Y255" i="1" s="1"/>
  <c r="AA255" i="1" s="1"/>
  <c r="AB255" i="1" s="1"/>
  <c r="Y82" i="1"/>
  <c r="AA82" i="1" s="1"/>
  <c r="AB82" i="1" s="1"/>
  <c r="AJ134" i="1"/>
  <c r="AK134" i="1" s="1"/>
  <c r="Y134" i="1" s="1"/>
  <c r="AA134" i="1" s="1"/>
  <c r="AB134" i="1" s="1"/>
  <c r="AJ121" i="1"/>
  <c r="AK121" i="1" s="1"/>
  <c r="Y121" i="1" s="1"/>
  <c r="AA121" i="1" s="1"/>
  <c r="AB121" i="1" s="1"/>
  <c r="Y27" i="1"/>
  <c r="AA27" i="1" s="1"/>
  <c r="AB27" i="1" s="1"/>
  <c r="AJ276" i="1"/>
  <c r="AK276" i="1" s="1"/>
  <c r="Y276" i="1" s="1"/>
  <c r="AA276" i="1" s="1"/>
  <c r="AB276" i="1" s="1"/>
  <c r="Y30" i="1"/>
  <c r="AA30" i="1" s="1"/>
  <c r="AB30" i="1" s="1"/>
  <c r="AJ74" i="1"/>
  <c r="AK74" i="1" s="1"/>
  <c r="Y74" i="1" s="1"/>
  <c r="AA74" i="1" s="1"/>
  <c r="AB74" i="1" s="1"/>
  <c r="AJ340" i="3"/>
  <c r="AK340" i="3" s="1"/>
  <c r="AK90" i="3"/>
  <c r="AJ108" i="3"/>
  <c r="AK108" i="3" s="1"/>
  <c r="AJ275" i="3"/>
  <c r="AK275" i="3" s="1"/>
  <c r="AJ406" i="3"/>
  <c r="AK406" i="3" s="1"/>
  <c r="AJ426" i="3"/>
  <c r="AK426" i="3" s="1"/>
  <c r="AJ295" i="3"/>
  <c r="AK295" i="3" s="1"/>
  <c r="AJ29" i="3"/>
  <c r="AK29" i="3" s="1"/>
  <c r="AJ183" i="3"/>
  <c r="AK183" i="3" s="1"/>
  <c r="AK114" i="3"/>
  <c r="AJ134" i="3"/>
  <c r="AK134" i="3" s="1"/>
  <c r="AJ381" i="3"/>
  <c r="AK381" i="3" s="1"/>
  <c r="AK85" i="6"/>
  <c r="Y85" i="6" s="1"/>
  <c r="AA85" i="6" s="1"/>
  <c r="AB85" i="6" s="1"/>
  <c r="AK145" i="6"/>
  <c r="Y145" i="6" s="1"/>
  <c r="AA145" i="6" s="1"/>
  <c r="AB145" i="6" s="1"/>
  <c r="AK9" i="3"/>
  <c r="AK336" i="3"/>
  <c r="AK8" i="3"/>
  <c r="AK66" i="3"/>
  <c r="AK322" i="3"/>
  <c r="AK87" i="3"/>
  <c r="AK106" i="3"/>
  <c r="AK416" i="3"/>
  <c r="AK146" i="3"/>
  <c r="AK291" i="3"/>
  <c r="AK95" i="3"/>
  <c r="AK423" i="3"/>
  <c r="AJ125" i="6"/>
  <c r="AJ47" i="5"/>
  <c r="AK47" i="5" s="1"/>
  <c r="Y47" i="5" s="1"/>
  <c r="AA47" i="5" s="1"/>
  <c r="AB47" i="5" s="1"/>
  <c r="AJ7" i="5"/>
  <c r="AK7" i="5" s="1"/>
  <c r="Y7" i="5" s="1"/>
  <c r="AA7" i="5" s="1"/>
  <c r="AB7" i="5" s="1"/>
  <c r="AJ10" i="5"/>
  <c r="AK10" i="5" s="1"/>
  <c r="Y10" i="5" s="1"/>
  <c r="AA10" i="5" s="1"/>
  <c r="AB10" i="5" s="1"/>
  <c r="AJ9" i="5"/>
  <c r="AK9" i="5" s="1"/>
  <c r="Y9" i="5" s="1"/>
  <c r="AA9" i="5" s="1"/>
  <c r="AB9" i="5" s="1"/>
  <c r="AF410" i="3"/>
  <c r="AF459" i="3"/>
  <c r="AF244" i="3"/>
  <c r="AF123" i="3"/>
  <c r="AF11" i="3"/>
  <c r="AF358" i="3"/>
  <c r="AF21" i="4"/>
  <c r="AF33" i="3"/>
  <c r="AF308" i="3"/>
  <c r="AF88" i="3"/>
  <c r="AF268" i="3"/>
  <c r="AF200" i="3"/>
  <c r="AH168" i="3"/>
  <c r="AF177" i="3"/>
  <c r="AF414" i="3"/>
  <c r="AF436" i="3"/>
  <c r="AF356" i="3"/>
  <c r="AF342" i="3"/>
  <c r="AF189" i="3"/>
  <c r="AF16" i="3"/>
  <c r="AF139" i="3"/>
  <c r="AF40" i="4"/>
  <c r="AF51" i="3"/>
  <c r="AF428" i="3"/>
  <c r="AF175" i="3"/>
  <c r="AF128" i="3"/>
  <c r="AF136" i="3"/>
  <c r="AF78" i="3"/>
  <c r="AF404" i="3"/>
  <c r="AF53" i="3"/>
  <c r="AF45" i="4"/>
  <c r="AF45" i="3"/>
  <c r="AF348" i="3"/>
  <c r="AF191" i="3"/>
  <c r="AF83" i="3"/>
  <c r="AF8" i="4"/>
  <c r="AF288" i="3"/>
  <c r="AF403" i="3"/>
  <c r="AF168" i="3"/>
  <c r="AF110" i="3"/>
  <c r="AF430" i="3"/>
  <c r="AF347" i="3"/>
  <c r="AJ347" i="3" s="1"/>
  <c r="AF332" i="3"/>
  <c r="AJ332" i="3" s="1"/>
  <c r="AF129" i="3"/>
  <c r="AF52" i="3"/>
  <c r="AF13" i="3"/>
  <c r="AF20" i="3"/>
  <c r="AF30" i="8"/>
  <c r="AH30" i="8"/>
  <c r="AF7" i="8"/>
  <c r="AF266" i="6"/>
  <c r="AF42" i="6"/>
  <c r="AF248" i="6"/>
  <c r="AF198" i="6"/>
  <c r="AF6" i="6"/>
  <c r="AF15" i="6"/>
  <c r="AF14" i="6"/>
  <c r="AF183" i="6"/>
  <c r="AF185" i="6"/>
  <c r="AF291" i="6"/>
  <c r="AF53" i="6"/>
  <c r="AF54" i="6"/>
  <c r="AF91" i="6"/>
  <c r="AF86" i="6"/>
  <c r="AF146" i="6"/>
  <c r="AF7" i="6"/>
  <c r="AF9" i="6"/>
  <c r="AF97" i="6"/>
  <c r="AF10" i="6"/>
  <c r="AF18" i="6"/>
  <c r="AF61" i="6"/>
  <c r="AH61" i="6"/>
  <c r="AF9" i="2"/>
  <c r="AF159" i="1"/>
  <c r="AF32" i="2"/>
  <c r="AF29" i="1"/>
  <c r="AF21" i="2"/>
  <c r="AF38" i="2"/>
  <c r="AF182" i="1"/>
  <c r="AF107" i="1"/>
  <c r="AF110" i="1"/>
  <c r="AF24" i="1"/>
  <c r="AF20" i="1"/>
  <c r="AF8" i="2"/>
  <c r="AF14" i="1"/>
  <c r="AF16" i="1"/>
  <c r="N47" i="5" l="1"/>
  <c r="P47" i="5" s="1"/>
  <c r="Q47" i="5" s="1"/>
  <c r="D47" i="5" s="1"/>
  <c r="N9" i="5"/>
  <c r="P9" i="5" s="1"/>
  <c r="Q9" i="5" s="1"/>
  <c r="D9" i="5" s="1"/>
  <c r="N10" i="5"/>
  <c r="P10" i="5" s="1"/>
  <c r="Q10" i="5" s="1"/>
  <c r="D10" i="5" s="1"/>
  <c r="N7" i="5"/>
  <c r="P7" i="5" s="1"/>
  <c r="Q7" i="5" s="1"/>
  <c r="D7" i="5" s="1"/>
  <c r="N30" i="2"/>
  <c r="P30" i="2" s="1"/>
  <c r="Q30" i="2" s="1"/>
  <c r="D30" i="2" s="1"/>
  <c r="N85" i="6"/>
  <c r="P85" i="6" s="1"/>
  <c r="Q85" i="6" s="1"/>
  <c r="D85" i="6" s="1"/>
  <c r="N145" i="6"/>
  <c r="P145" i="6" s="1"/>
  <c r="Q145" i="6" s="1"/>
  <c r="D145" i="6" s="1"/>
  <c r="N28" i="4"/>
  <c r="P28" i="4" s="1"/>
  <c r="Q28" i="4" s="1"/>
  <c r="D28" i="4" s="1"/>
  <c r="N30" i="4"/>
  <c r="P30" i="4" s="1"/>
  <c r="Q30" i="4" s="1"/>
  <c r="D30" i="4" s="1"/>
  <c r="N18" i="4"/>
  <c r="P18" i="4" s="1"/>
  <c r="Q18" i="4" s="1"/>
  <c r="D18" i="4" s="1"/>
  <c r="N12" i="4"/>
  <c r="P12" i="4" s="1"/>
  <c r="Q12" i="4" s="1"/>
  <c r="D12" i="4" s="1"/>
  <c r="N255" i="1"/>
  <c r="P255" i="1" s="1"/>
  <c r="Q255" i="1" s="1"/>
  <c r="D255" i="1" s="1"/>
  <c r="N121" i="1"/>
  <c r="P121" i="1" s="1"/>
  <c r="Q121" i="1" s="1"/>
  <c r="D121" i="1" s="1"/>
  <c r="N23" i="1"/>
  <c r="P23" i="1" s="1"/>
  <c r="Q23" i="1" s="1"/>
  <c r="D23" i="1" s="1"/>
  <c r="N27" i="1"/>
  <c r="P27" i="1" s="1"/>
  <c r="Q27" i="1" s="1"/>
  <c r="D27" i="1" s="1"/>
  <c r="N82" i="1"/>
  <c r="P82" i="1" s="1"/>
  <c r="Q82" i="1" s="1"/>
  <c r="D82" i="1" s="1"/>
  <c r="N265" i="1"/>
  <c r="P265" i="1" s="1"/>
  <c r="Q265" i="1" s="1"/>
  <c r="D265" i="1" s="1"/>
  <c r="N11" i="1"/>
  <c r="P11" i="1" s="1"/>
  <c r="Q11" i="1" s="1"/>
  <c r="D11" i="1" s="1"/>
  <c r="N223" i="1"/>
  <c r="P223" i="1" s="1"/>
  <c r="Q223" i="1" s="1"/>
  <c r="D223" i="1" s="1"/>
  <c r="N47" i="1"/>
  <c r="P47" i="1" s="1"/>
  <c r="Q47" i="1" s="1"/>
  <c r="D47" i="1" s="1"/>
  <c r="N127" i="1"/>
  <c r="P127" i="1" s="1"/>
  <c r="Q127" i="1" s="1"/>
  <c r="D127" i="1" s="1"/>
  <c r="N177" i="1"/>
  <c r="P177" i="1" s="1"/>
  <c r="Q177" i="1" s="1"/>
  <c r="D177" i="1" s="1"/>
  <c r="N171" i="1"/>
  <c r="P171" i="1" s="1"/>
  <c r="Q171" i="1" s="1"/>
  <c r="D171" i="1" s="1"/>
  <c r="N74" i="1"/>
  <c r="P74" i="1" s="1"/>
  <c r="Q74" i="1" s="1"/>
  <c r="D74" i="1" s="1"/>
  <c r="N30" i="1"/>
  <c r="P30" i="1" s="1"/>
  <c r="Q30" i="1" s="1"/>
  <c r="D30" i="1" s="1"/>
  <c r="N240" i="1"/>
  <c r="P240" i="1" s="1"/>
  <c r="Q240" i="1" s="1"/>
  <c r="D240" i="1" s="1"/>
  <c r="N134" i="1"/>
  <c r="P134" i="1" s="1"/>
  <c r="Q134" i="1" s="1"/>
  <c r="D134" i="1" s="1"/>
  <c r="N56" i="1"/>
  <c r="P56" i="1" s="1"/>
  <c r="Q56" i="1" s="1"/>
  <c r="D56" i="1" s="1"/>
  <c r="N276" i="1"/>
  <c r="P276" i="1" s="1"/>
  <c r="Q276" i="1" s="1"/>
  <c r="D276" i="1" s="1"/>
  <c r="Y106" i="3"/>
  <c r="AA106" i="3" s="1"/>
  <c r="AB106" i="3" s="1"/>
  <c r="N106" i="3" s="1"/>
  <c r="P106" i="3" s="1"/>
  <c r="Q106" i="3" s="1"/>
  <c r="D106" i="3" s="1"/>
  <c r="Y183" i="3"/>
  <c r="AA183" i="3" s="1"/>
  <c r="AB183" i="3" s="1"/>
  <c r="N183" i="3" s="1"/>
  <c r="P183" i="3" s="1"/>
  <c r="Q183" i="3" s="1"/>
  <c r="D183" i="3" s="1"/>
  <c r="Y275" i="3"/>
  <c r="AA275" i="3" s="1"/>
  <c r="AB275" i="3" s="1"/>
  <c r="N275" i="3" s="1"/>
  <c r="P275" i="3" s="1"/>
  <c r="Q275" i="3" s="1"/>
  <c r="D275" i="3" s="1"/>
  <c r="Y340" i="3"/>
  <c r="AA340" i="3" s="1"/>
  <c r="AB340" i="3" s="1"/>
  <c r="N340" i="3" s="1"/>
  <c r="P340" i="3" s="1"/>
  <c r="Q340" i="3" s="1"/>
  <c r="D340" i="3" s="1"/>
  <c r="Y8" i="3"/>
  <c r="AA8" i="3" s="1"/>
  <c r="AB8" i="3" s="1"/>
  <c r="N8" i="3" s="1"/>
  <c r="P8" i="3" s="1"/>
  <c r="Q8" i="3" s="1"/>
  <c r="D8" i="3" s="1"/>
  <c r="Y29" i="3"/>
  <c r="AA29" i="3" s="1"/>
  <c r="AB29" i="3" s="1"/>
  <c r="N29" i="3" s="1"/>
  <c r="P29" i="3" s="1"/>
  <c r="Q29" i="3" s="1"/>
  <c r="D29" i="3" s="1"/>
  <c r="Y87" i="3"/>
  <c r="AA87" i="3" s="1"/>
  <c r="AB87" i="3" s="1"/>
  <c r="N87" i="3" s="1"/>
  <c r="P87" i="3" s="1"/>
  <c r="Q87" i="3" s="1"/>
  <c r="D87" i="3" s="1"/>
  <c r="Y423" i="3"/>
  <c r="AA423" i="3" s="1"/>
  <c r="AB423" i="3" s="1"/>
  <c r="N423" i="3" s="1"/>
  <c r="P423" i="3" s="1"/>
  <c r="Q423" i="3" s="1"/>
  <c r="D423" i="3" s="1"/>
  <c r="Y291" i="3"/>
  <c r="AA291" i="3" s="1"/>
  <c r="AB291" i="3" s="1"/>
  <c r="N291" i="3" s="1"/>
  <c r="P291" i="3" s="1"/>
  <c r="Q291" i="3" s="1"/>
  <c r="D291" i="3" s="1"/>
  <c r="Y90" i="3"/>
  <c r="AA90" i="3" s="1"/>
  <c r="AB90" i="3" s="1"/>
  <c r="N90" i="3" s="1"/>
  <c r="P90" i="3" s="1"/>
  <c r="Q90" i="3" s="1"/>
  <c r="D90" i="3" s="1"/>
  <c r="Y114" i="3"/>
  <c r="AA114" i="3" s="1"/>
  <c r="AB114" i="3" s="1"/>
  <c r="N114" i="3" s="1"/>
  <c r="P114" i="3" s="1"/>
  <c r="Q114" i="3" s="1"/>
  <c r="D114" i="3" s="1"/>
  <c r="Y322" i="3"/>
  <c r="AA322" i="3" s="1"/>
  <c r="AB322" i="3" s="1"/>
  <c r="N322" i="3" s="1"/>
  <c r="P322" i="3" s="1"/>
  <c r="Q322" i="3" s="1"/>
  <c r="D322" i="3" s="1"/>
  <c r="Y66" i="3"/>
  <c r="AA66" i="3" s="1"/>
  <c r="AB66" i="3" s="1"/>
  <c r="N66" i="3" s="1"/>
  <c r="P66" i="3" s="1"/>
  <c r="Q66" i="3" s="1"/>
  <c r="D66" i="3" s="1"/>
  <c r="Y295" i="3"/>
  <c r="AA295" i="3" s="1"/>
  <c r="AB295" i="3" s="1"/>
  <c r="N295" i="3" s="1"/>
  <c r="P295" i="3" s="1"/>
  <c r="Q295" i="3" s="1"/>
  <c r="D295" i="3" s="1"/>
  <c r="Y426" i="3"/>
  <c r="AA426" i="3" s="1"/>
  <c r="AB426" i="3" s="1"/>
  <c r="N426" i="3" s="1"/>
  <c r="P426" i="3" s="1"/>
  <c r="Q426" i="3" s="1"/>
  <c r="D426" i="3" s="1"/>
  <c r="Y406" i="3"/>
  <c r="AA406" i="3" s="1"/>
  <c r="AB406" i="3" s="1"/>
  <c r="N406" i="3" s="1"/>
  <c r="P406" i="3" s="1"/>
  <c r="Q406" i="3" s="1"/>
  <c r="D406" i="3" s="1"/>
  <c r="Y9" i="3"/>
  <c r="AA9" i="3" s="1"/>
  <c r="AB9" i="3" s="1"/>
  <c r="N9" i="3" s="1"/>
  <c r="P9" i="3" s="1"/>
  <c r="Q9" i="3" s="1"/>
  <c r="D9" i="3" s="1"/>
  <c r="Y95" i="3"/>
  <c r="AA95" i="3" s="1"/>
  <c r="AB95" i="3" s="1"/>
  <c r="N95" i="3" s="1"/>
  <c r="P95" i="3" s="1"/>
  <c r="Q95" i="3" s="1"/>
  <c r="D95" i="3" s="1"/>
  <c r="Y146" i="3"/>
  <c r="AA146" i="3" s="1"/>
  <c r="AB146" i="3" s="1"/>
  <c r="N146" i="3" s="1"/>
  <c r="P146" i="3" s="1"/>
  <c r="Q146" i="3" s="1"/>
  <c r="D146" i="3" s="1"/>
  <c r="Y381" i="3"/>
  <c r="AA381" i="3" s="1"/>
  <c r="AB381" i="3" s="1"/>
  <c r="N381" i="3" s="1"/>
  <c r="P381" i="3" s="1"/>
  <c r="Q381" i="3" s="1"/>
  <c r="D381" i="3" s="1"/>
  <c r="Y336" i="3"/>
  <c r="AA336" i="3" s="1"/>
  <c r="AB336" i="3" s="1"/>
  <c r="N336" i="3" s="1"/>
  <c r="P336" i="3" s="1"/>
  <c r="Q336" i="3" s="1"/>
  <c r="D336" i="3" s="1"/>
  <c r="Y108" i="3"/>
  <c r="AA108" i="3" s="1"/>
  <c r="AB108" i="3" s="1"/>
  <c r="N108" i="3" s="1"/>
  <c r="P108" i="3" s="1"/>
  <c r="Q108" i="3" s="1"/>
  <c r="D108" i="3" s="1"/>
  <c r="Y416" i="3"/>
  <c r="AA416" i="3" s="1"/>
  <c r="AB416" i="3" s="1"/>
  <c r="N416" i="3" s="1"/>
  <c r="P416" i="3" s="1"/>
  <c r="Q416" i="3" s="1"/>
  <c r="D416" i="3" s="1"/>
  <c r="Y134" i="3"/>
  <c r="AA134" i="3" s="1"/>
  <c r="AB134" i="3" s="1"/>
  <c r="N134" i="3" s="1"/>
  <c r="P134" i="3" s="1"/>
  <c r="Q134" i="3" s="1"/>
  <c r="D134" i="3" s="1"/>
  <c r="AJ33" i="3"/>
  <c r="AK33" i="3" s="1"/>
  <c r="AJ136" i="3"/>
  <c r="AK136" i="3" s="1"/>
  <c r="AJ404" i="3"/>
  <c r="AK404" i="3" s="1"/>
  <c r="AJ308" i="3"/>
  <c r="AK308" i="3" s="1"/>
  <c r="AK347" i="3"/>
  <c r="AJ123" i="3"/>
  <c r="AK123" i="3" s="1"/>
  <c r="AJ403" i="3"/>
  <c r="AK403" i="3" s="1"/>
  <c r="AJ52" i="3"/>
  <c r="AK52" i="3" s="1"/>
  <c r="AK332" i="3"/>
  <c r="AJ244" i="3"/>
  <c r="AK244" i="3" s="1"/>
  <c r="AJ88" i="3"/>
  <c r="AK88" i="3" s="1"/>
  <c r="AJ358" i="3"/>
  <c r="AK358" i="3" s="1"/>
  <c r="AJ459" i="3"/>
  <c r="AK459" i="3" s="1"/>
  <c r="AJ78" i="3"/>
  <c r="AK78" i="3" s="1"/>
  <c r="AJ128" i="3"/>
  <c r="AK128" i="3" s="1"/>
  <c r="AJ410" i="3"/>
  <c r="AK410" i="3" s="1"/>
  <c r="AJ139" i="3"/>
  <c r="AK139" i="3" s="1"/>
  <c r="AJ83" i="3"/>
  <c r="AK83" i="3" s="1"/>
  <c r="AJ175" i="3"/>
  <c r="AK175" i="3" s="1"/>
  <c r="AJ45" i="3"/>
  <c r="AK45" i="3" s="1"/>
  <c r="AJ110" i="3"/>
  <c r="AK110" i="3" s="1"/>
  <c r="AJ168" i="3"/>
  <c r="AK168" i="3" s="1"/>
  <c r="AK125" i="6"/>
  <c r="Y125" i="6" s="1"/>
  <c r="AA125" i="6" s="1"/>
  <c r="AB125" i="6" s="1"/>
  <c r="AJ30" i="8"/>
  <c r="AJ7" i="8"/>
  <c r="AJ54" i="6"/>
  <c r="AJ91" i="6"/>
  <c r="AJ53" i="6"/>
  <c r="AJ61" i="6"/>
  <c r="AJ18" i="6"/>
  <c r="AJ9" i="2"/>
  <c r="AK9" i="2" s="1"/>
  <c r="AJ32" i="2"/>
  <c r="AK32" i="2" s="1"/>
  <c r="AF55" i="1"/>
  <c r="AF84" i="1"/>
  <c r="AF61" i="1"/>
  <c r="AF280" i="1"/>
  <c r="AF181" i="1"/>
  <c r="AF22" i="1"/>
  <c r="AF28" i="1"/>
  <c r="AF140" i="1"/>
  <c r="AF118" i="1"/>
  <c r="AF9" i="1"/>
  <c r="AF16" i="5"/>
  <c r="AF31" i="5"/>
  <c r="AF46" i="5"/>
  <c r="AF42" i="5"/>
  <c r="AF32" i="5"/>
  <c r="AF11" i="5"/>
  <c r="AF23" i="5"/>
  <c r="AG185" i="6"/>
  <c r="AG183" i="6"/>
  <c r="AG291" i="6"/>
  <c r="AG42" i="6"/>
  <c r="AG266" i="6"/>
  <c r="AG13" i="6"/>
  <c r="AG248" i="6"/>
  <c r="AG10" i="6"/>
  <c r="AG241" i="3"/>
  <c r="AG305" i="3"/>
  <c r="AG116" i="3"/>
  <c r="AG307" i="3"/>
  <c r="AG198" i="6"/>
  <c r="AG24" i="1"/>
  <c r="AG16" i="1"/>
  <c r="AG14" i="1"/>
  <c r="AG110" i="1"/>
  <c r="AG182" i="1"/>
  <c r="AI20" i="3"/>
  <c r="AG14" i="6"/>
  <c r="AG17" i="6"/>
  <c r="AG7" i="6"/>
  <c r="AG428" i="3"/>
  <c r="AG10" i="3"/>
  <c r="AG40" i="4"/>
  <c r="AG51" i="3"/>
  <c r="AG234" i="3"/>
  <c r="AG414" i="3"/>
  <c r="AG445" i="3"/>
  <c r="AG20" i="3"/>
  <c r="AG16" i="3"/>
  <c r="AQ86" i="6"/>
  <c r="AR86" i="6"/>
  <c r="AS86" i="6"/>
  <c r="AG74" i="6"/>
  <c r="AG146" i="6"/>
  <c r="AG97" i="6"/>
  <c r="AG8" i="4"/>
  <c r="AG31" i="4"/>
  <c r="AG356" i="3"/>
  <c r="AG198" i="3"/>
  <c r="AG348" i="3"/>
  <c r="AG436" i="3"/>
  <c r="AG439" i="3"/>
  <c r="AG53" i="3"/>
  <c r="AJ53" i="3" s="1"/>
  <c r="AG342" i="3"/>
  <c r="AG21" i="2"/>
  <c r="AG38" i="2"/>
  <c r="AG29" i="1"/>
  <c r="N125" i="6" l="1"/>
  <c r="P125" i="6" s="1"/>
  <c r="Q125" i="6" s="1"/>
  <c r="D125" i="6" s="1"/>
  <c r="Y332" i="3"/>
  <c r="AA332" i="3" s="1"/>
  <c r="AB332" i="3" s="1"/>
  <c r="N332" i="3" s="1"/>
  <c r="P332" i="3" s="1"/>
  <c r="Q332" i="3" s="1"/>
  <c r="D332" i="3" s="1"/>
  <c r="Y83" i="3"/>
  <c r="AA83" i="3" s="1"/>
  <c r="AB83" i="3" s="1"/>
  <c r="N83" i="3" s="1"/>
  <c r="P83" i="3" s="1"/>
  <c r="Q83" i="3" s="1"/>
  <c r="D83" i="3" s="1"/>
  <c r="Y139" i="3"/>
  <c r="AA139" i="3" s="1"/>
  <c r="AB139" i="3" s="1"/>
  <c r="N139" i="3" s="1"/>
  <c r="P139" i="3" s="1"/>
  <c r="Q139" i="3" s="1"/>
  <c r="D139" i="3" s="1"/>
  <c r="Y136" i="3"/>
  <c r="AA136" i="3" s="1"/>
  <c r="AB136" i="3" s="1"/>
  <c r="N136" i="3" s="1"/>
  <c r="P136" i="3" s="1"/>
  <c r="Q136" i="3" s="1"/>
  <c r="D136" i="3" s="1"/>
  <c r="Y168" i="3"/>
  <c r="AA168" i="3" s="1"/>
  <c r="AB168" i="3" s="1"/>
  <c r="N168" i="3" s="1"/>
  <c r="P168" i="3" s="1"/>
  <c r="Q168" i="3" s="1"/>
  <c r="D168" i="3" s="1"/>
  <c r="Y52" i="3"/>
  <c r="AA52" i="3" s="1"/>
  <c r="AB52" i="3" s="1"/>
  <c r="N52" i="3" s="1"/>
  <c r="P52" i="3" s="1"/>
  <c r="Q52" i="3" s="1"/>
  <c r="D52" i="3" s="1"/>
  <c r="Y175" i="3"/>
  <c r="AA175" i="3" s="1"/>
  <c r="AB175" i="3" s="1"/>
  <c r="N175" i="3" s="1"/>
  <c r="P175" i="3" s="1"/>
  <c r="Q175" i="3" s="1"/>
  <c r="D175" i="3" s="1"/>
  <c r="Y404" i="3"/>
  <c r="AA404" i="3" s="1"/>
  <c r="AB404" i="3" s="1"/>
  <c r="N404" i="3" s="1"/>
  <c r="P404" i="3" s="1"/>
  <c r="Q404" i="3" s="1"/>
  <c r="D404" i="3" s="1"/>
  <c r="Y244" i="3"/>
  <c r="AA244" i="3" s="1"/>
  <c r="AB244" i="3" s="1"/>
  <c r="N244" i="3" s="1"/>
  <c r="P244" i="3" s="1"/>
  <c r="Q244" i="3" s="1"/>
  <c r="D244" i="3" s="1"/>
  <c r="Y123" i="3"/>
  <c r="AA123" i="3" s="1"/>
  <c r="AB123" i="3" s="1"/>
  <c r="N123" i="3" s="1"/>
  <c r="P123" i="3" s="1"/>
  <c r="Q123" i="3" s="1"/>
  <c r="D123" i="3" s="1"/>
  <c r="Y347" i="3"/>
  <c r="AA347" i="3" s="1"/>
  <c r="AB347" i="3" s="1"/>
  <c r="N347" i="3" s="1"/>
  <c r="P347" i="3" s="1"/>
  <c r="Q347" i="3" s="1"/>
  <c r="D347" i="3" s="1"/>
  <c r="Y308" i="3"/>
  <c r="AA308" i="3" s="1"/>
  <c r="AB308" i="3" s="1"/>
  <c r="N308" i="3" s="1"/>
  <c r="P308" i="3" s="1"/>
  <c r="Q308" i="3" s="1"/>
  <c r="D308" i="3" s="1"/>
  <c r="Y78" i="3"/>
  <c r="AA78" i="3" s="1"/>
  <c r="AB78" i="3" s="1"/>
  <c r="N78" i="3" s="1"/>
  <c r="P78" i="3" s="1"/>
  <c r="Q78" i="3" s="1"/>
  <c r="D78" i="3" s="1"/>
  <c r="Y459" i="3"/>
  <c r="AA459" i="3" s="1"/>
  <c r="AB459" i="3" s="1"/>
  <c r="N459" i="3" s="1"/>
  <c r="P459" i="3" s="1"/>
  <c r="Q459" i="3" s="1"/>
  <c r="D459" i="3" s="1"/>
  <c r="Y110" i="3"/>
  <c r="AA110" i="3" s="1"/>
  <c r="AB110" i="3" s="1"/>
  <c r="N110" i="3" s="1"/>
  <c r="P110" i="3" s="1"/>
  <c r="Q110" i="3" s="1"/>
  <c r="D110" i="3" s="1"/>
  <c r="Y45" i="3"/>
  <c r="AA45" i="3" s="1"/>
  <c r="AB45" i="3" s="1"/>
  <c r="N45" i="3" s="1"/>
  <c r="P45" i="3" s="1"/>
  <c r="Q45" i="3" s="1"/>
  <c r="D45" i="3" s="1"/>
  <c r="Y410" i="3"/>
  <c r="AA410" i="3" s="1"/>
  <c r="AB410" i="3" s="1"/>
  <c r="N410" i="3" s="1"/>
  <c r="P410" i="3" s="1"/>
  <c r="Q410" i="3" s="1"/>
  <c r="D410" i="3" s="1"/>
  <c r="Y403" i="3"/>
  <c r="AA403" i="3" s="1"/>
  <c r="AB403" i="3" s="1"/>
  <c r="N403" i="3" s="1"/>
  <c r="P403" i="3" s="1"/>
  <c r="Q403" i="3" s="1"/>
  <c r="D403" i="3" s="1"/>
  <c r="Y33" i="3"/>
  <c r="AA33" i="3" s="1"/>
  <c r="AB33" i="3" s="1"/>
  <c r="N33" i="3" s="1"/>
  <c r="P33" i="3" s="1"/>
  <c r="Q33" i="3" s="1"/>
  <c r="D33" i="3" s="1"/>
  <c r="Y358" i="3"/>
  <c r="AA358" i="3" s="1"/>
  <c r="AB358" i="3" s="1"/>
  <c r="N358" i="3" s="1"/>
  <c r="P358" i="3" s="1"/>
  <c r="Q358" i="3" s="1"/>
  <c r="D358" i="3" s="1"/>
  <c r="Y128" i="3"/>
  <c r="AA128" i="3" s="1"/>
  <c r="AB128" i="3" s="1"/>
  <c r="N128" i="3" s="1"/>
  <c r="P128" i="3" s="1"/>
  <c r="Q128" i="3" s="1"/>
  <c r="D128" i="3" s="1"/>
  <c r="Y88" i="3"/>
  <c r="AA88" i="3" s="1"/>
  <c r="AB88" i="3" s="1"/>
  <c r="N88" i="3" s="1"/>
  <c r="P88" i="3" s="1"/>
  <c r="Q88" i="3" s="1"/>
  <c r="D88" i="3" s="1"/>
  <c r="Y32" i="2"/>
  <c r="AA32" i="2" s="1"/>
  <c r="AB32" i="2" s="1"/>
  <c r="Y9" i="2"/>
  <c r="AA9" i="2" s="1"/>
  <c r="AB9" i="2" s="1"/>
  <c r="AJ116" i="3"/>
  <c r="AK116" i="3" s="1"/>
  <c r="AK53" i="3"/>
  <c r="AJ307" i="3"/>
  <c r="AK307" i="3" s="1"/>
  <c r="AJ305" i="3"/>
  <c r="AK305" i="3" s="1"/>
  <c r="AJ10" i="3"/>
  <c r="AK10" i="3" s="1"/>
  <c r="AJ234" i="3"/>
  <c r="AK234" i="3" s="1"/>
  <c r="AJ428" i="3"/>
  <c r="AK428" i="3" s="1"/>
  <c r="AJ241" i="3"/>
  <c r="AK241" i="3" s="1"/>
  <c r="AJ51" i="3"/>
  <c r="AK51" i="3" s="1"/>
  <c r="AK30" i="8"/>
  <c r="Y30" i="8" s="1"/>
  <c r="AA30" i="8" s="1"/>
  <c r="AB30" i="8" s="1"/>
  <c r="N30" i="8" s="1"/>
  <c r="P30" i="8" s="1"/>
  <c r="Q30" i="8" s="1"/>
  <c r="D30" i="8" s="1"/>
  <c r="AK7" i="8"/>
  <c r="Y7" i="8" s="1"/>
  <c r="AA7" i="8" s="1"/>
  <c r="AB7" i="8" s="1"/>
  <c r="N7" i="8" s="1"/>
  <c r="P7" i="8" s="1"/>
  <c r="Q7" i="8" s="1"/>
  <c r="D7" i="8" s="1"/>
  <c r="AK18" i="6"/>
  <c r="Y18" i="6" s="1"/>
  <c r="AA18" i="6" s="1"/>
  <c r="AB18" i="6" s="1"/>
  <c r="AK54" i="6"/>
  <c r="Y54" i="6" s="1"/>
  <c r="AA54" i="6" s="1"/>
  <c r="AB54" i="6" s="1"/>
  <c r="AK53" i="6"/>
  <c r="Y53" i="6" s="1"/>
  <c r="AA53" i="6" s="1"/>
  <c r="AB53" i="6" s="1"/>
  <c r="AK91" i="6"/>
  <c r="Y91" i="6" s="1"/>
  <c r="AA91" i="6" s="1"/>
  <c r="AB91" i="6" s="1"/>
  <c r="AK61" i="6"/>
  <c r="Y61" i="6" s="1"/>
  <c r="AA61" i="6" s="1"/>
  <c r="AB61" i="6" s="1"/>
  <c r="AJ97" i="6"/>
  <c r="AJ8" i="4"/>
  <c r="AK8" i="4" s="1"/>
  <c r="AJ31" i="4"/>
  <c r="AK31" i="4" s="1"/>
  <c r="AJ23" i="5"/>
  <c r="AK23" i="5" s="1"/>
  <c r="Y23" i="5" s="1"/>
  <c r="AA23" i="5" s="1"/>
  <c r="AB23" i="5" s="1"/>
  <c r="AJ11" i="5"/>
  <c r="AK11" i="5" s="1"/>
  <c r="Y11" i="5" s="1"/>
  <c r="AA11" i="5" s="1"/>
  <c r="AB11" i="5" s="1"/>
  <c r="AJ31" i="5"/>
  <c r="AK31" i="5" s="1"/>
  <c r="Y31" i="5" s="1"/>
  <c r="AA31" i="5" s="1"/>
  <c r="AB31" i="5" s="1"/>
  <c r="AU86" i="6"/>
  <c r="AV86" i="6" s="1"/>
  <c r="AH86" i="6" s="1"/>
  <c r="AG35" i="1"/>
  <c r="AP33" i="2"/>
  <c r="AO33" i="2"/>
  <c r="AG181" i="1"/>
  <c r="AG61" i="1"/>
  <c r="AG147" i="1"/>
  <c r="AG44" i="2"/>
  <c r="AG55" i="1"/>
  <c r="AG84" i="1"/>
  <c r="AG22" i="1"/>
  <c r="AG6" i="1"/>
  <c r="AG28" i="1"/>
  <c r="AG16" i="5"/>
  <c r="AG46" i="5"/>
  <c r="AG42" i="5"/>
  <c r="AG32" i="5"/>
  <c r="AM21" i="8"/>
  <c r="AU36" i="8"/>
  <c r="AV36" i="8" s="1"/>
  <c r="AU17" i="8"/>
  <c r="AV17" i="8" s="1"/>
  <c r="AH17" i="8" s="1"/>
  <c r="AU22" i="8"/>
  <c r="AV22" i="8" s="1"/>
  <c r="AH22" i="8" s="1"/>
  <c r="AU74" i="6"/>
  <c r="AV74" i="6" s="1"/>
  <c r="AH74" i="6" s="1"/>
  <c r="AU115" i="6"/>
  <c r="AV115" i="6" s="1"/>
  <c r="AH115" i="6" s="1"/>
  <c r="AU146" i="6"/>
  <c r="AV146" i="6" s="1"/>
  <c r="AH146" i="6" s="1"/>
  <c r="AU192" i="6"/>
  <c r="AV192" i="6" s="1"/>
  <c r="AH192" i="6" s="1"/>
  <c r="AU247" i="6"/>
  <c r="AV247" i="6" s="1"/>
  <c r="AH247" i="6" s="1"/>
  <c r="AS118" i="6"/>
  <c r="AP118" i="6"/>
  <c r="AO118" i="6"/>
  <c r="AP311" i="6"/>
  <c r="AO311" i="6"/>
  <c r="AN293" i="6"/>
  <c r="AU293" i="6" s="1"/>
  <c r="AV293" i="6" s="1"/>
  <c r="AH293" i="6" s="1"/>
  <c r="AN284" i="6"/>
  <c r="AU284" i="6" s="1"/>
  <c r="AV284" i="6" s="1"/>
  <c r="AH284" i="6" s="1"/>
  <c r="AP190" i="6"/>
  <c r="AU190" i="6" s="1"/>
  <c r="AV190" i="6" s="1"/>
  <c r="AH190" i="6" s="1"/>
  <c r="AT185" i="6"/>
  <c r="AR185" i="6"/>
  <c r="AQ185" i="6"/>
  <c r="AP185" i="6"/>
  <c r="AO185" i="6"/>
  <c r="AN185" i="6"/>
  <c r="AT183" i="6"/>
  <c r="AR183" i="6"/>
  <c r="AQ183" i="6"/>
  <c r="AP183" i="6"/>
  <c r="AN183" i="6"/>
  <c r="AP182" i="6"/>
  <c r="AU182" i="6" s="1"/>
  <c r="AV182" i="6" s="1"/>
  <c r="AH182" i="6" s="1"/>
  <c r="AN143" i="6"/>
  <c r="AU143" i="6" s="1"/>
  <c r="AV143" i="6" s="1"/>
  <c r="AH143" i="6" s="1"/>
  <c r="AP81" i="6"/>
  <c r="AN81" i="6"/>
  <c r="AO31" i="6"/>
  <c r="AU31" i="6" s="1"/>
  <c r="AV31" i="6" s="1"/>
  <c r="AH31" i="6" s="1"/>
  <c r="AP302" i="6"/>
  <c r="AM302" i="6"/>
  <c r="AT291" i="6"/>
  <c r="AS291" i="6"/>
  <c r="AR291" i="6"/>
  <c r="AS198" i="6"/>
  <c r="AU198" i="6" s="1"/>
  <c r="AV198" i="6" s="1"/>
  <c r="AH198" i="6" s="1"/>
  <c r="AP194" i="6"/>
  <c r="AU194" i="6" s="1"/>
  <c r="AV194" i="6" s="1"/>
  <c r="AH194" i="6" s="1"/>
  <c r="AQ36" i="6"/>
  <c r="AR36" i="6"/>
  <c r="AO14" i="6"/>
  <c r="AP14" i="6"/>
  <c r="AQ14" i="6"/>
  <c r="AR14" i="6"/>
  <c r="AS14" i="6"/>
  <c r="AP17" i="6"/>
  <c r="AQ17" i="6"/>
  <c r="AR17" i="6"/>
  <c r="AO9" i="6"/>
  <c r="AP9" i="6"/>
  <c r="AQ9" i="6"/>
  <c r="AR9" i="6"/>
  <c r="AS9" i="6"/>
  <c r="AP7" i="6"/>
  <c r="AQ7" i="6"/>
  <c r="AR7" i="6"/>
  <c r="AP44" i="6"/>
  <c r="AU44" i="6" s="1"/>
  <c r="AV44" i="6" s="1"/>
  <c r="AH44" i="6" s="1"/>
  <c r="AP47" i="4"/>
  <c r="AU47" i="4" s="1"/>
  <c r="AV47" i="4" s="1"/>
  <c r="AH47" i="4" s="1"/>
  <c r="AU41" i="4"/>
  <c r="AV41" i="4" s="1"/>
  <c r="AU37" i="4"/>
  <c r="AV37" i="4" s="1"/>
  <c r="AH37" i="4" s="1"/>
  <c r="AT38" i="4"/>
  <c r="AU38" i="4"/>
  <c r="AP26" i="4"/>
  <c r="AU26" i="4" s="1"/>
  <c r="AR8" i="4"/>
  <c r="AU8" i="4" s="1"/>
  <c r="AS45" i="4"/>
  <c r="AR45" i="4"/>
  <c r="AP45" i="4"/>
  <c r="AO45" i="4"/>
  <c r="AS40" i="4"/>
  <c r="AU40" i="4" s="1"/>
  <c r="AV40" i="4" s="1"/>
  <c r="AM10" i="4"/>
  <c r="AO10" i="4"/>
  <c r="AP10" i="4"/>
  <c r="AM21" i="4"/>
  <c r="AU21" i="4" s="1"/>
  <c r="AT21" i="4"/>
  <c r="AT470" i="3"/>
  <c r="AU470" i="3"/>
  <c r="AR447" i="3"/>
  <c r="AU447" i="3" s="1"/>
  <c r="AV447" i="3" s="1"/>
  <c r="AH447" i="3" s="1"/>
  <c r="AP445" i="3"/>
  <c r="AQ445" i="3"/>
  <c r="AR445" i="3"/>
  <c r="AR439" i="3"/>
  <c r="AU439" i="3" s="1"/>
  <c r="AP430" i="3"/>
  <c r="AR430" i="3"/>
  <c r="AM434" i="3"/>
  <c r="AO434" i="3"/>
  <c r="AP434" i="3"/>
  <c r="AQ436" i="3"/>
  <c r="AR436" i="3"/>
  <c r="AN414" i="3"/>
  <c r="AP414" i="3"/>
  <c r="AQ414" i="3"/>
  <c r="AR414" i="3"/>
  <c r="AT414" i="3"/>
  <c r="AP411" i="3"/>
  <c r="AU411" i="3" s="1"/>
  <c r="AR356" i="3"/>
  <c r="AU356" i="3" s="1"/>
  <c r="AV356" i="3" s="1"/>
  <c r="AO348" i="3"/>
  <c r="AP348" i="3"/>
  <c r="AR348" i="3"/>
  <c r="AP349" i="3"/>
  <c r="AU349" i="3" s="1"/>
  <c r="AV349" i="3" s="1"/>
  <c r="AP342" i="3"/>
  <c r="AQ342" i="3"/>
  <c r="AR342" i="3"/>
  <c r="AT342" i="3"/>
  <c r="AR314" i="3"/>
  <c r="AU314" i="3" s="1"/>
  <c r="AP315" i="3"/>
  <c r="AU315" i="3" s="1"/>
  <c r="AV315" i="3" s="1"/>
  <c r="AP20" i="3"/>
  <c r="AQ20" i="3"/>
  <c r="AR20" i="3"/>
  <c r="AT20" i="3"/>
  <c r="AT284" i="3"/>
  <c r="AU284" i="3"/>
  <c r="AP288" i="3"/>
  <c r="AR288" i="3"/>
  <c r="AU278" i="3"/>
  <c r="AV278" i="3" s="1"/>
  <c r="AQ268" i="3"/>
  <c r="AR268" i="3"/>
  <c r="AN250" i="3"/>
  <c r="AP250" i="3"/>
  <c r="AP243" i="3"/>
  <c r="AU243" i="3" s="1"/>
  <c r="AV243" i="3" s="1"/>
  <c r="AU232" i="3"/>
  <c r="AV232" i="3" s="1"/>
  <c r="AU231" i="3"/>
  <c r="AQ200" i="3"/>
  <c r="AU200" i="3" s="1"/>
  <c r="AP222" i="3"/>
  <c r="AU222" i="3" s="1"/>
  <c r="AU214" i="3"/>
  <c r="AV214" i="3" s="1"/>
  <c r="AO191" i="3"/>
  <c r="AP191" i="3"/>
  <c r="AQ191" i="3"/>
  <c r="AR191" i="3"/>
  <c r="AR198" i="3"/>
  <c r="AU198" i="3" s="1"/>
  <c r="AV198" i="3" s="1"/>
  <c r="AP13" i="3"/>
  <c r="AQ13" i="3"/>
  <c r="AR13" i="3"/>
  <c r="AO195" i="3"/>
  <c r="AP195" i="3"/>
  <c r="AN177" i="3"/>
  <c r="AP177" i="3"/>
  <c r="AQ177" i="3"/>
  <c r="AR177" i="3"/>
  <c r="AQ129" i="3"/>
  <c r="AR129" i="3"/>
  <c r="AN72" i="3"/>
  <c r="AP72" i="3"/>
  <c r="AP55" i="3"/>
  <c r="AU55" i="3" s="1"/>
  <c r="AV55" i="3" s="1"/>
  <c r="AO425" i="3"/>
  <c r="AS425" i="3"/>
  <c r="AO395" i="3"/>
  <c r="AS395" i="3"/>
  <c r="AO346" i="3"/>
  <c r="AS346" i="3"/>
  <c r="AS189" i="3"/>
  <c r="AU189" i="3" s="1"/>
  <c r="AT189" i="3"/>
  <c r="AO142" i="3"/>
  <c r="AS142" i="3"/>
  <c r="AP16" i="3"/>
  <c r="AQ16" i="3"/>
  <c r="AR16" i="3"/>
  <c r="AS16" i="3"/>
  <c r="AM11" i="3"/>
  <c r="AU11" i="3" s="1"/>
  <c r="AV11" i="3" s="1"/>
  <c r="AU34" i="5"/>
  <c r="AV34" i="5" s="1"/>
  <c r="AH34" i="5" s="1"/>
  <c r="AU38" i="5"/>
  <c r="AV38" i="5" s="1"/>
  <c r="AH38" i="5" s="1"/>
  <c r="AU41" i="5"/>
  <c r="AV41" i="5" s="1"/>
  <c r="AH41" i="5" s="1"/>
  <c r="AU44" i="5"/>
  <c r="AV44" i="5" s="1"/>
  <c r="AH44" i="5" s="1"/>
  <c r="N23" i="5" l="1"/>
  <c r="P23" i="5" s="1"/>
  <c r="Q23" i="5" s="1"/>
  <c r="D23" i="5" s="1"/>
  <c r="N31" i="5"/>
  <c r="P31" i="5" s="1"/>
  <c r="Q31" i="5" s="1"/>
  <c r="D31" i="5" s="1"/>
  <c r="N11" i="5"/>
  <c r="P11" i="5" s="1"/>
  <c r="Q11" i="5" s="1"/>
  <c r="D11" i="5" s="1"/>
  <c r="N32" i="2"/>
  <c r="P32" i="2" s="1"/>
  <c r="Q32" i="2" s="1"/>
  <c r="D32" i="2" s="1"/>
  <c r="N9" i="2"/>
  <c r="P9" i="2" s="1"/>
  <c r="Q9" i="2" s="1"/>
  <c r="D9" i="2" s="1"/>
  <c r="N61" i="6"/>
  <c r="P61" i="6" s="1"/>
  <c r="Q61" i="6" s="1"/>
  <c r="D61" i="6" s="1"/>
  <c r="N53" i="6"/>
  <c r="P53" i="6" s="1"/>
  <c r="Q53" i="6" s="1"/>
  <c r="D53" i="6" s="1"/>
  <c r="N54" i="6"/>
  <c r="P54" i="6" s="1"/>
  <c r="Q54" i="6" s="1"/>
  <c r="D54" i="6" s="1"/>
  <c r="N18" i="6"/>
  <c r="P18" i="6" s="1"/>
  <c r="Q18" i="6" s="1"/>
  <c r="D18" i="6" s="1"/>
  <c r="N91" i="6"/>
  <c r="P91" i="6" s="1"/>
  <c r="Q91" i="6" s="1"/>
  <c r="D91" i="6" s="1"/>
  <c r="Y8" i="4"/>
  <c r="AA8" i="4" s="1"/>
  <c r="AB8" i="4" s="1"/>
  <c r="Y31" i="4"/>
  <c r="AA31" i="4" s="1"/>
  <c r="AB31" i="4" s="1"/>
  <c r="Y10" i="3"/>
  <c r="AA10" i="3" s="1"/>
  <c r="AB10" i="3" s="1"/>
  <c r="N10" i="3" s="1"/>
  <c r="P10" i="3" s="1"/>
  <c r="Q10" i="3" s="1"/>
  <c r="D10" i="3" s="1"/>
  <c r="Y234" i="3"/>
  <c r="AA234" i="3" s="1"/>
  <c r="AB234" i="3" s="1"/>
  <c r="N234" i="3" s="1"/>
  <c r="P234" i="3" s="1"/>
  <c r="Q234" i="3" s="1"/>
  <c r="D234" i="3" s="1"/>
  <c r="Y305" i="3"/>
  <c r="AA305" i="3" s="1"/>
  <c r="AB305" i="3" s="1"/>
  <c r="N305" i="3" s="1"/>
  <c r="P305" i="3" s="1"/>
  <c r="Q305" i="3" s="1"/>
  <c r="D305" i="3" s="1"/>
  <c r="Y307" i="3"/>
  <c r="AA307" i="3" s="1"/>
  <c r="AB307" i="3" s="1"/>
  <c r="N307" i="3" s="1"/>
  <c r="P307" i="3" s="1"/>
  <c r="Q307" i="3" s="1"/>
  <c r="D307" i="3" s="1"/>
  <c r="Y53" i="3"/>
  <c r="AA53" i="3" s="1"/>
  <c r="AB53" i="3" s="1"/>
  <c r="N53" i="3" s="1"/>
  <c r="P53" i="3" s="1"/>
  <c r="Q53" i="3" s="1"/>
  <c r="D53" i="3" s="1"/>
  <c r="Y51" i="3"/>
  <c r="AA51" i="3" s="1"/>
  <c r="AB51" i="3" s="1"/>
  <c r="N51" i="3" s="1"/>
  <c r="P51" i="3" s="1"/>
  <c r="Q51" i="3" s="1"/>
  <c r="D51" i="3" s="1"/>
  <c r="Y116" i="3"/>
  <c r="AA116" i="3" s="1"/>
  <c r="AB116" i="3" s="1"/>
  <c r="N116" i="3" s="1"/>
  <c r="P116" i="3" s="1"/>
  <c r="Q116" i="3" s="1"/>
  <c r="D116" i="3" s="1"/>
  <c r="Y241" i="3"/>
  <c r="AA241" i="3" s="1"/>
  <c r="AB241" i="3" s="1"/>
  <c r="N241" i="3" s="1"/>
  <c r="P241" i="3" s="1"/>
  <c r="Q241" i="3" s="1"/>
  <c r="D241" i="3" s="1"/>
  <c r="Y428" i="3"/>
  <c r="AA428" i="3" s="1"/>
  <c r="AB428" i="3" s="1"/>
  <c r="N428" i="3" s="1"/>
  <c r="P428" i="3" s="1"/>
  <c r="Q428" i="3" s="1"/>
  <c r="D428" i="3" s="1"/>
  <c r="AJ447" i="3"/>
  <c r="AK447" i="3" s="1"/>
  <c r="AK97" i="6"/>
  <c r="Y97" i="6" s="1"/>
  <c r="AA97" i="6" s="1"/>
  <c r="AB97" i="6" s="1"/>
  <c r="AJ17" i="8"/>
  <c r="AJ22" i="8"/>
  <c r="AJ247" i="6"/>
  <c r="AJ192" i="6"/>
  <c r="AJ194" i="6"/>
  <c r="AJ190" i="6"/>
  <c r="AJ284" i="6"/>
  <c r="AJ293" i="6"/>
  <c r="AJ146" i="6"/>
  <c r="AJ115" i="6"/>
  <c r="AJ74" i="6"/>
  <c r="AJ198" i="6"/>
  <c r="AJ143" i="6"/>
  <c r="AJ44" i="6"/>
  <c r="AJ31" i="6"/>
  <c r="AJ86" i="6"/>
  <c r="AJ182" i="6"/>
  <c r="AJ37" i="4"/>
  <c r="AK37" i="4" s="1"/>
  <c r="AJ47" i="4"/>
  <c r="AK47" i="4" s="1"/>
  <c r="AJ38" i="5"/>
  <c r="AK38" i="5" s="1"/>
  <c r="Y38" i="5" s="1"/>
  <c r="AA38" i="5" s="1"/>
  <c r="AB38" i="5" s="1"/>
  <c r="AJ44" i="5"/>
  <c r="AK44" i="5" s="1"/>
  <c r="Y44" i="5" s="1"/>
  <c r="AA44" i="5" s="1"/>
  <c r="AB44" i="5" s="1"/>
  <c r="AJ41" i="5"/>
  <c r="AK41" i="5" s="1"/>
  <c r="Y41" i="5" s="1"/>
  <c r="AA41" i="5" s="1"/>
  <c r="AB41" i="5" s="1"/>
  <c r="AJ34" i="5"/>
  <c r="AK34" i="5" s="1"/>
  <c r="Y34" i="5" s="1"/>
  <c r="AA34" i="5" s="1"/>
  <c r="AB34" i="5" s="1"/>
  <c r="AJ42" i="5"/>
  <c r="AK42" i="5" s="1"/>
  <c r="Y42" i="5" s="1"/>
  <c r="AA42" i="5" s="1"/>
  <c r="AB42" i="5" s="1"/>
  <c r="AU302" i="6"/>
  <c r="AV302" i="6" s="1"/>
  <c r="AH302" i="6" s="1"/>
  <c r="AU33" i="2"/>
  <c r="AV33" i="2" s="1"/>
  <c r="AH33" i="2" s="1"/>
  <c r="AU291" i="6"/>
  <c r="AV291" i="6" s="1"/>
  <c r="AH291" i="6" s="1"/>
  <c r="AU185" i="6"/>
  <c r="AV185" i="6" s="1"/>
  <c r="AH185" i="6" s="1"/>
  <c r="AU311" i="6"/>
  <c r="AV311" i="6" s="1"/>
  <c r="AH311" i="6" s="1"/>
  <c r="AU17" i="6"/>
  <c r="AV17" i="6" s="1"/>
  <c r="AH17" i="6" s="1"/>
  <c r="AV21" i="4"/>
  <c r="AH21" i="4" s="1"/>
  <c r="AU183" i="6"/>
  <c r="AV183" i="6" s="1"/>
  <c r="AH183" i="6" s="1"/>
  <c r="AU118" i="6"/>
  <c r="AV118" i="6" s="1"/>
  <c r="AH118" i="6" s="1"/>
  <c r="AU14" i="6"/>
  <c r="AV14" i="6" s="1"/>
  <c r="AH14" i="6" s="1"/>
  <c r="AU7" i="6"/>
  <c r="AV7" i="6" s="1"/>
  <c r="AH7" i="6" s="1"/>
  <c r="AU36" i="6"/>
  <c r="AV36" i="6" s="1"/>
  <c r="AH36" i="6" s="1"/>
  <c r="AU9" i="6"/>
  <c r="AV9" i="6" s="1"/>
  <c r="AH9" i="6" s="1"/>
  <c r="AU81" i="6"/>
  <c r="AV81" i="6" s="1"/>
  <c r="AH81" i="6" s="1"/>
  <c r="AV38" i="4"/>
  <c r="AH38" i="4" s="1"/>
  <c r="AV26" i="4"/>
  <c r="AH26" i="4" s="1"/>
  <c r="AV8" i="4"/>
  <c r="AV189" i="3"/>
  <c r="AH189" i="3" s="1"/>
  <c r="AV470" i="3"/>
  <c r="AH470" i="3" s="1"/>
  <c r="AJ470" i="3" s="1"/>
  <c r="AK470" i="3" s="1"/>
  <c r="AV284" i="3"/>
  <c r="AH284" i="3" s="1"/>
  <c r="AV439" i="3"/>
  <c r="AH439" i="3" s="1"/>
  <c r="AH214" i="3"/>
  <c r="AV314" i="3"/>
  <c r="AH314" i="3" s="1"/>
  <c r="AV231" i="3"/>
  <c r="AH231" i="3" s="1"/>
  <c r="AV200" i="3"/>
  <c r="AH200" i="3" s="1"/>
  <c r="AV222" i="3"/>
  <c r="AH222" i="3" s="1"/>
  <c r="AH55" i="3"/>
  <c r="AH349" i="3"/>
  <c r="AV411" i="3"/>
  <c r="AH411" i="3" s="1"/>
  <c r="AH41" i="4"/>
  <c r="AU10" i="4"/>
  <c r="AV10" i="4" s="1"/>
  <c r="AH10" i="4" s="1"/>
  <c r="AU45" i="4"/>
  <c r="AH40" i="4"/>
  <c r="AH198" i="3"/>
  <c r="AH278" i="3"/>
  <c r="AH356" i="3"/>
  <c r="AH232" i="3"/>
  <c r="AH243" i="3"/>
  <c r="AH315" i="3"/>
  <c r="AU445" i="3"/>
  <c r="AU436" i="3"/>
  <c r="AU434" i="3"/>
  <c r="AU430" i="3"/>
  <c r="AU414" i="3"/>
  <c r="AU348" i="3"/>
  <c r="AU250" i="3"/>
  <c r="AU342" i="3"/>
  <c r="AU288" i="3"/>
  <c r="AU20" i="3"/>
  <c r="AU268" i="3"/>
  <c r="AU195" i="3"/>
  <c r="AU395" i="3"/>
  <c r="AU13" i="3"/>
  <c r="AU191" i="3"/>
  <c r="AU129" i="3"/>
  <c r="AU177" i="3"/>
  <c r="AU425" i="3"/>
  <c r="AU72" i="3"/>
  <c r="AU346" i="3"/>
  <c r="AU142" i="3"/>
  <c r="AH11" i="3"/>
  <c r="AH257" i="1"/>
  <c r="AU16" i="3"/>
  <c r="AV16" i="3" s="1"/>
  <c r="AH70" i="1"/>
  <c r="N42" i="5" l="1"/>
  <c r="P42" i="5" s="1"/>
  <c r="Q42" i="5" s="1"/>
  <c r="D42" i="5" s="1"/>
  <c r="N41" i="5"/>
  <c r="P41" i="5" s="1"/>
  <c r="Q41" i="5" s="1"/>
  <c r="D41" i="5" s="1"/>
  <c r="N34" i="5"/>
  <c r="P34" i="5" s="1"/>
  <c r="Q34" i="5" s="1"/>
  <c r="D34" i="5" s="1"/>
  <c r="N44" i="5"/>
  <c r="P44" i="5" s="1"/>
  <c r="Q44" i="5" s="1"/>
  <c r="D44" i="5" s="1"/>
  <c r="N38" i="5"/>
  <c r="P38" i="5" s="1"/>
  <c r="Q38" i="5" s="1"/>
  <c r="D38" i="5" s="1"/>
  <c r="N97" i="6"/>
  <c r="P97" i="6" s="1"/>
  <c r="Q97" i="6" s="1"/>
  <c r="D97" i="6" s="1"/>
  <c r="N31" i="4"/>
  <c r="P31" i="4" s="1"/>
  <c r="Q31" i="4" s="1"/>
  <c r="D31" i="4" s="1"/>
  <c r="N8" i="4"/>
  <c r="P8" i="4" s="1"/>
  <c r="Q8" i="4" s="1"/>
  <c r="D8" i="4" s="1"/>
  <c r="Y37" i="4"/>
  <c r="AA37" i="4" s="1"/>
  <c r="AB37" i="4" s="1"/>
  <c r="Y47" i="4"/>
  <c r="AA47" i="4" s="1"/>
  <c r="AB47" i="4" s="1"/>
  <c r="Y470" i="3"/>
  <c r="AA470" i="3" s="1"/>
  <c r="AB470" i="3" s="1"/>
  <c r="N470" i="3" s="1"/>
  <c r="P470" i="3" s="1"/>
  <c r="Q470" i="3" s="1"/>
  <c r="D470" i="3" s="1"/>
  <c r="Y447" i="3"/>
  <c r="AA447" i="3" s="1"/>
  <c r="AB447" i="3" s="1"/>
  <c r="N447" i="3" s="1"/>
  <c r="P447" i="3" s="1"/>
  <c r="Q447" i="3" s="1"/>
  <c r="D447" i="3" s="1"/>
  <c r="AJ257" i="1"/>
  <c r="AK257" i="1" s="1"/>
  <c r="Y257" i="1" s="1"/>
  <c r="AA257" i="1" s="1"/>
  <c r="AB257" i="1" s="1"/>
  <c r="AJ70" i="1"/>
  <c r="AK70" i="1" s="1"/>
  <c r="Y70" i="1" s="1"/>
  <c r="AA70" i="1" s="1"/>
  <c r="AB70" i="1" s="1"/>
  <c r="AJ349" i="3"/>
  <c r="AK349" i="3" s="1"/>
  <c r="AJ222" i="3"/>
  <c r="AK222" i="3" s="1"/>
  <c r="AJ231" i="3"/>
  <c r="AK231" i="3" s="1"/>
  <c r="AJ232" i="3"/>
  <c r="AK232" i="3" s="1"/>
  <c r="AJ411" i="3"/>
  <c r="AK411" i="3" s="1"/>
  <c r="AJ200" i="3"/>
  <c r="AK200" i="3" s="1"/>
  <c r="AJ439" i="3"/>
  <c r="AK439" i="3" s="1"/>
  <c r="AJ243" i="3"/>
  <c r="AK243" i="3" s="1"/>
  <c r="AJ278" i="3"/>
  <c r="AK278" i="3" s="1"/>
  <c r="AJ284" i="3"/>
  <c r="AK284" i="3" s="1"/>
  <c r="AJ356" i="3"/>
  <c r="AK356" i="3" s="1"/>
  <c r="AJ198" i="3"/>
  <c r="AK198" i="3" s="1"/>
  <c r="AJ55" i="3"/>
  <c r="AK55" i="3" s="1"/>
  <c r="AJ315" i="3"/>
  <c r="AK315" i="3" s="1"/>
  <c r="AJ314" i="3"/>
  <c r="AK314" i="3" s="1"/>
  <c r="AJ214" i="3"/>
  <c r="AK214" i="3" s="1"/>
  <c r="AJ11" i="3"/>
  <c r="AK11" i="3" s="1"/>
  <c r="AJ189" i="3"/>
  <c r="AK189" i="3" s="1"/>
  <c r="AK22" i="8"/>
  <c r="Y22" i="8" s="1"/>
  <c r="AA22" i="8" s="1"/>
  <c r="AB22" i="8" s="1"/>
  <c r="N22" i="8" s="1"/>
  <c r="P22" i="8" s="1"/>
  <c r="Q22" i="8" s="1"/>
  <c r="D22" i="8" s="1"/>
  <c r="AK17" i="8"/>
  <c r="Y17" i="8" s="1"/>
  <c r="AA17" i="8" s="1"/>
  <c r="AB17" i="8" s="1"/>
  <c r="N17" i="8" s="1"/>
  <c r="P17" i="8" s="1"/>
  <c r="Q17" i="8" s="1"/>
  <c r="D17" i="8" s="1"/>
  <c r="AK115" i="6"/>
  <c r="Y115" i="6" s="1"/>
  <c r="AA115" i="6" s="1"/>
  <c r="AB115" i="6" s="1"/>
  <c r="AK198" i="6"/>
  <c r="Y198" i="6" s="1"/>
  <c r="AA198" i="6" s="1"/>
  <c r="AB198" i="6" s="1"/>
  <c r="AK74" i="6"/>
  <c r="Y74" i="6" s="1"/>
  <c r="AA74" i="6" s="1"/>
  <c r="AB74" i="6" s="1"/>
  <c r="AK146" i="6"/>
  <c r="Y146" i="6" s="1"/>
  <c r="AA146" i="6" s="1"/>
  <c r="AB146" i="6" s="1"/>
  <c r="AK192" i="6"/>
  <c r="Y192" i="6" s="1"/>
  <c r="AA192" i="6" s="1"/>
  <c r="AB192" i="6" s="1"/>
  <c r="AK86" i="6"/>
  <c r="Y86" i="6" s="1"/>
  <c r="AA86" i="6" s="1"/>
  <c r="AB86" i="6" s="1"/>
  <c r="AK143" i="6"/>
  <c r="Y143" i="6" s="1"/>
  <c r="AA143" i="6" s="1"/>
  <c r="AB143" i="6" s="1"/>
  <c r="AK284" i="6"/>
  <c r="Y284" i="6" s="1"/>
  <c r="AA284" i="6" s="1"/>
  <c r="AB284" i="6" s="1"/>
  <c r="AK190" i="6"/>
  <c r="Y190" i="6" s="1"/>
  <c r="AA190" i="6" s="1"/>
  <c r="AB190" i="6" s="1"/>
  <c r="AK247" i="6"/>
  <c r="Y247" i="6" s="1"/>
  <c r="AA247" i="6" s="1"/>
  <c r="AB247" i="6" s="1"/>
  <c r="AK31" i="6"/>
  <c r="Y31" i="6" s="1"/>
  <c r="AA31" i="6" s="1"/>
  <c r="AB31" i="6" s="1"/>
  <c r="AK293" i="6"/>
  <c r="Y293" i="6" s="1"/>
  <c r="AA293" i="6" s="1"/>
  <c r="AB293" i="6" s="1"/>
  <c r="AK194" i="6"/>
  <c r="Y194" i="6" s="1"/>
  <c r="AA194" i="6" s="1"/>
  <c r="AB194" i="6" s="1"/>
  <c r="AK182" i="6"/>
  <c r="Y182" i="6" s="1"/>
  <c r="AA182" i="6" s="1"/>
  <c r="AB182" i="6" s="1"/>
  <c r="AK44" i="6"/>
  <c r="Y44" i="6" s="1"/>
  <c r="AA44" i="6" s="1"/>
  <c r="AB44" i="6" s="1"/>
  <c r="AJ36" i="6"/>
  <c r="AJ7" i="6"/>
  <c r="AJ185" i="6"/>
  <c r="AJ291" i="6"/>
  <c r="AJ14" i="6"/>
  <c r="AJ118" i="6"/>
  <c r="AJ183" i="6"/>
  <c r="AJ17" i="6"/>
  <c r="AJ311" i="6"/>
  <c r="AJ302" i="6"/>
  <c r="AJ81" i="6"/>
  <c r="AJ9" i="6"/>
  <c r="AJ38" i="4"/>
  <c r="AK38" i="4" s="1"/>
  <c r="AJ21" i="4"/>
  <c r="AK21" i="4" s="1"/>
  <c r="AJ26" i="4"/>
  <c r="AK26" i="4" s="1"/>
  <c r="AJ40" i="4"/>
  <c r="AK40" i="4" s="1"/>
  <c r="AJ10" i="4"/>
  <c r="AK10" i="4" s="1"/>
  <c r="AJ41" i="4"/>
  <c r="AK41" i="4" s="1"/>
  <c r="AJ33" i="2"/>
  <c r="AK33" i="2" s="1"/>
  <c r="AV45" i="4"/>
  <c r="AH45" i="4" s="1"/>
  <c r="AV195" i="3"/>
  <c r="AH195" i="3" s="1"/>
  <c r="AV20" i="3"/>
  <c r="AH20" i="3" s="1"/>
  <c r="AV288" i="3"/>
  <c r="AH288" i="3" s="1"/>
  <c r="AV142" i="3"/>
  <c r="AH142" i="3" s="1"/>
  <c r="AV342" i="3"/>
  <c r="AH342" i="3" s="1"/>
  <c r="AV346" i="3"/>
  <c r="AH346" i="3" s="1"/>
  <c r="AV348" i="3"/>
  <c r="AH348" i="3" s="1"/>
  <c r="AV414" i="3"/>
  <c r="AH414" i="3" s="1"/>
  <c r="AV268" i="3"/>
  <c r="AH268" i="3" s="1"/>
  <c r="AV250" i="3"/>
  <c r="AH250" i="3" s="1"/>
  <c r="AV72" i="3"/>
  <c r="AH72" i="3" s="1"/>
  <c r="AV430" i="3"/>
  <c r="AH430" i="3" s="1"/>
  <c r="AV425" i="3"/>
  <c r="AH425" i="3" s="1"/>
  <c r="AV434" i="3"/>
  <c r="AH434" i="3" s="1"/>
  <c r="AV177" i="3"/>
  <c r="AH177" i="3" s="1"/>
  <c r="AV436" i="3"/>
  <c r="AH436" i="3" s="1"/>
  <c r="AV129" i="3"/>
  <c r="AH129" i="3" s="1"/>
  <c r="AV13" i="3"/>
  <c r="AH13" i="3" s="1"/>
  <c r="AV445" i="3"/>
  <c r="AH445" i="3" s="1"/>
  <c r="AV191" i="3"/>
  <c r="AH191" i="3" s="1"/>
  <c r="AV395" i="3"/>
  <c r="AH395" i="3" s="1"/>
  <c r="AH16" i="3"/>
  <c r="N182" i="6" l="1"/>
  <c r="P182" i="6" s="1"/>
  <c r="Q182" i="6" s="1"/>
  <c r="D182" i="6" s="1"/>
  <c r="N31" i="6"/>
  <c r="P31" i="6" s="1"/>
  <c r="Q31" i="6" s="1"/>
  <c r="D31" i="6" s="1"/>
  <c r="N284" i="6"/>
  <c r="P284" i="6" s="1"/>
  <c r="Q284" i="6" s="1"/>
  <c r="D284" i="6" s="1"/>
  <c r="N293" i="6"/>
  <c r="P293" i="6" s="1"/>
  <c r="Q293" i="6" s="1"/>
  <c r="D293" i="6" s="1"/>
  <c r="N143" i="6"/>
  <c r="P143" i="6" s="1"/>
  <c r="Q143" i="6" s="1"/>
  <c r="D143" i="6" s="1"/>
  <c r="N74" i="6"/>
  <c r="P74" i="6" s="1"/>
  <c r="Q74" i="6" s="1"/>
  <c r="D74" i="6" s="1"/>
  <c r="N115" i="6"/>
  <c r="P115" i="6" s="1"/>
  <c r="Q115" i="6" s="1"/>
  <c r="D115" i="6" s="1"/>
  <c r="N44" i="6"/>
  <c r="P44" i="6" s="1"/>
  <c r="Q44" i="6" s="1"/>
  <c r="D44" i="6" s="1"/>
  <c r="N194" i="6"/>
  <c r="P194" i="6" s="1"/>
  <c r="Q194" i="6" s="1"/>
  <c r="D194" i="6" s="1"/>
  <c r="N247" i="6"/>
  <c r="P247" i="6" s="1"/>
  <c r="Q247" i="6" s="1"/>
  <c r="D247" i="6" s="1"/>
  <c r="N190" i="6"/>
  <c r="P190" i="6" s="1"/>
  <c r="Q190" i="6" s="1"/>
  <c r="D190" i="6" s="1"/>
  <c r="N86" i="6"/>
  <c r="P86" i="6" s="1"/>
  <c r="Q86" i="6" s="1"/>
  <c r="D86" i="6" s="1"/>
  <c r="N192" i="6"/>
  <c r="P192" i="6" s="1"/>
  <c r="Q192" i="6" s="1"/>
  <c r="D192" i="6" s="1"/>
  <c r="N146" i="6"/>
  <c r="P146" i="6" s="1"/>
  <c r="Q146" i="6" s="1"/>
  <c r="D146" i="6" s="1"/>
  <c r="N198" i="6"/>
  <c r="P198" i="6" s="1"/>
  <c r="Q198" i="6" s="1"/>
  <c r="D198" i="6" s="1"/>
  <c r="N47" i="4"/>
  <c r="P47" i="4" s="1"/>
  <c r="Q47" i="4" s="1"/>
  <c r="D47" i="4" s="1"/>
  <c r="N37" i="4"/>
  <c r="P37" i="4" s="1"/>
  <c r="Q37" i="4" s="1"/>
  <c r="D37" i="4" s="1"/>
  <c r="N257" i="1"/>
  <c r="P257" i="1" s="1"/>
  <c r="Q257" i="1" s="1"/>
  <c r="D257" i="1" s="1"/>
  <c r="N70" i="1"/>
  <c r="P70" i="1" s="1"/>
  <c r="Q70" i="1" s="1"/>
  <c r="D70" i="1" s="1"/>
  <c r="Y26" i="4"/>
  <c r="AA26" i="4" s="1"/>
  <c r="AB26" i="4" s="1"/>
  <c r="Y41" i="4"/>
  <c r="AA41" i="4" s="1"/>
  <c r="AB41" i="4" s="1"/>
  <c r="Y40" i="4"/>
  <c r="AA40" i="4" s="1"/>
  <c r="AB40" i="4" s="1"/>
  <c r="Y21" i="4"/>
  <c r="AA21" i="4" s="1"/>
  <c r="AB21" i="4" s="1"/>
  <c r="Y10" i="4"/>
  <c r="AA10" i="4" s="1"/>
  <c r="AB10" i="4" s="1"/>
  <c r="Y38" i="4"/>
  <c r="AA38" i="4" s="1"/>
  <c r="AB38" i="4" s="1"/>
  <c r="Y55" i="3"/>
  <c r="AA55" i="3" s="1"/>
  <c r="AB55" i="3" s="1"/>
  <c r="N55" i="3" s="1"/>
  <c r="P55" i="3" s="1"/>
  <c r="Q55" i="3" s="1"/>
  <c r="D55" i="3" s="1"/>
  <c r="Y439" i="3"/>
  <c r="AA439" i="3" s="1"/>
  <c r="AB439" i="3" s="1"/>
  <c r="N439" i="3" s="1"/>
  <c r="P439" i="3" s="1"/>
  <c r="Q439" i="3" s="1"/>
  <c r="D439" i="3" s="1"/>
  <c r="Y11" i="3"/>
  <c r="AA11" i="3" s="1"/>
  <c r="AB11" i="3" s="1"/>
  <c r="N11" i="3" s="1"/>
  <c r="P11" i="3" s="1"/>
  <c r="Q11" i="3" s="1"/>
  <c r="D11" i="3" s="1"/>
  <c r="Y349" i="3"/>
  <c r="AA349" i="3" s="1"/>
  <c r="AB349" i="3" s="1"/>
  <c r="N349" i="3" s="1"/>
  <c r="P349" i="3" s="1"/>
  <c r="Q349" i="3" s="1"/>
  <c r="D349" i="3" s="1"/>
  <c r="Y284" i="3"/>
  <c r="AA284" i="3" s="1"/>
  <c r="AB284" i="3" s="1"/>
  <c r="N284" i="3" s="1"/>
  <c r="P284" i="3" s="1"/>
  <c r="Q284" i="3" s="1"/>
  <c r="D284" i="3" s="1"/>
  <c r="Y243" i="3"/>
  <c r="AA243" i="3" s="1"/>
  <c r="AB243" i="3" s="1"/>
  <c r="N243" i="3" s="1"/>
  <c r="P243" i="3" s="1"/>
  <c r="Q243" i="3" s="1"/>
  <c r="D243" i="3" s="1"/>
  <c r="Y200" i="3"/>
  <c r="AA200" i="3" s="1"/>
  <c r="AB200" i="3" s="1"/>
  <c r="N200" i="3" s="1"/>
  <c r="P200" i="3" s="1"/>
  <c r="Q200" i="3" s="1"/>
  <c r="D200" i="3" s="1"/>
  <c r="Y411" i="3"/>
  <c r="AA411" i="3" s="1"/>
  <c r="AB411" i="3" s="1"/>
  <c r="N411" i="3" s="1"/>
  <c r="P411" i="3" s="1"/>
  <c r="Q411" i="3" s="1"/>
  <c r="D411" i="3" s="1"/>
  <c r="Y214" i="3"/>
  <c r="AA214" i="3" s="1"/>
  <c r="AB214" i="3" s="1"/>
  <c r="N214" i="3" s="1"/>
  <c r="P214" i="3" s="1"/>
  <c r="Q214" i="3" s="1"/>
  <c r="D214" i="3" s="1"/>
  <c r="Y232" i="3"/>
  <c r="AA232" i="3" s="1"/>
  <c r="AB232" i="3" s="1"/>
  <c r="N232" i="3" s="1"/>
  <c r="P232" i="3" s="1"/>
  <c r="Q232" i="3" s="1"/>
  <c r="D232" i="3" s="1"/>
  <c r="Y222" i="3"/>
  <c r="AA222" i="3" s="1"/>
  <c r="AB222" i="3" s="1"/>
  <c r="N222" i="3" s="1"/>
  <c r="P222" i="3" s="1"/>
  <c r="Q222" i="3" s="1"/>
  <c r="D222" i="3" s="1"/>
  <c r="Y198" i="3"/>
  <c r="AA198" i="3" s="1"/>
  <c r="AB198" i="3" s="1"/>
  <c r="N198" i="3" s="1"/>
  <c r="P198" i="3" s="1"/>
  <c r="Q198" i="3" s="1"/>
  <c r="D198" i="3" s="1"/>
  <c r="Y356" i="3"/>
  <c r="AA356" i="3" s="1"/>
  <c r="AB356" i="3" s="1"/>
  <c r="N356" i="3" s="1"/>
  <c r="P356" i="3" s="1"/>
  <c r="Q356" i="3" s="1"/>
  <c r="D356" i="3" s="1"/>
  <c r="Y314" i="3"/>
  <c r="AA314" i="3" s="1"/>
  <c r="AB314" i="3" s="1"/>
  <c r="N314" i="3" s="1"/>
  <c r="P314" i="3" s="1"/>
  <c r="Q314" i="3" s="1"/>
  <c r="D314" i="3" s="1"/>
  <c r="Y231" i="3"/>
  <c r="AA231" i="3" s="1"/>
  <c r="AB231" i="3" s="1"/>
  <c r="N231" i="3" s="1"/>
  <c r="P231" i="3" s="1"/>
  <c r="Q231" i="3" s="1"/>
  <c r="D231" i="3" s="1"/>
  <c r="Y278" i="3"/>
  <c r="AA278" i="3" s="1"/>
  <c r="AB278" i="3" s="1"/>
  <c r="N278" i="3" s="1"/>
  <c r="P278" i="3" s="1"/>
  <c r="Q278" i="3" s="1"/>
  <c r="D278" i="3" s="1"/>
  <c r="Y189" i="3"/>
  <c r="AA189" i="3" s="1"/>
  <c r="AB189" i="3" s="1"/>
  <c r="N189" i="3" s="1"/>
  <c r="P189" i="3" s="1"/>
  <c r="Q189" i="3" s="1"/>
  <c r="D189" i="3" s="1"/>
  <c r="Y315" i="3"/>
  <c r="AA315" i="3" s="1"/>
  <c r="AB315" i="3" s="1"/>
  <c r="N315" i="3" s="1"/>
  <c r="P315" i="3" s="1"/>
  <c r="Q315" i="3" s="1"/>
  <c r="D315" i="3" s="1"/>
  <c r="Y33" i="2"/>
  <c r="AA33" i="2" s="1"/>
  <c r="AB33" i="2" s="1"/>
  <c r="AJ16" i="3"/>
  <c r="AK16" i="3" s="1"/>
  <c r="AJ142" i="3"/>
  <c r="AK142" i="3" s="1"/>
  <c r="AJ288" i="3"/>
  <c r="AK288" i="3" s="1"/>
  <c r="AJ129" i="3"/>
  <c r="AK129" i="3" s="1"/>
  <c r="AJ436" i="3"/>
  <c r="AK436" i="3" s="1"/>
  <c r="AJ434" i="3"/>
  <c r="AK434" i="3" s="1"/>
  <c r="AJ268" i="3"/>
  <c r="AK268" i="3" s="1"/>
  <c r="AJ346" i="3"/>
  <c r="AK346" i="3" s="1"/>
  <c r="AJ395" i="3"/>
  <c r="AK395" i="3" s="1"/>
  <c r="AJ430" i="3"/>
  <c r="AK430" i="3" s="1"/>
  <c r="AJ191" i="3"/>
  <c r="AK191" i="3" s="1"/>
  <c r="AJ20" i="3"/>
  <c r="AK20" i="3" s="1"/>
  <c r="AJ425" i="3"/>
  <c r="AK425" i="3" s="1"/>
  <c r="AJ72" i="3"/>
  <c r="AK72" i="3" s="1"/>
  <c r="AJ414" i="3"/>
  <c r="AK414" i="3" s="1"/>
  <c r="AJ348" i="3"/>
  <c r="AK348" i="3" s="1"/>
  <c r="AJ342" i="3"/>
  <c r="AK342" i="3" s="1"/>
  <c r="AJ445" i="3"/>
  <c r="AK445" i="3" s="1"/>
  <c r="AJ13" i="3"/>
  <c r="AK13" i="3" s="1"/>
  <c r="AJ195" i="3"/>
  <c r="AK195" i="3" s="1"/>
  <c r="AJ177" i="3"/>
  <c r="AK177" i="3" s="1"/>
  <c r="AJ250" i="3"/>
  <c r="AK250" i="3" s="1"/>
  <c r="AK36" i="6"/>
  <c r="Y36" i="6" s="1"/>
  <c r="AA36" i="6" s="1"/>
  <c r="AB36" i="6" s="1"/>
  <c r="AK81" i="6"/>
  <c r="Y81" i="6" s="1"/>
  <c r="AA81" i="6" s="1"/>
  <c r="AB81" i="6" s="1"/>
  <c r="AK302" i="6"/>
  <c r="Y302" i="6" s="1"/>
  <c r="AA302" i="6" s="1"/>
  <c r="AB302" i="6" s="1"/>
  <c r="AK183" i="6"/>
  <c r="Y183" i="6" s="1"/>
  <c r="AA183" i="6" s="1"/>
  <c r="AB183" i="6" s="1"/>
  <c r="AK118" i="6"/>
  <c r="Y118" i="6" s="1"/>
  <c r="AA118" i="6" s="1"/>
  <c r="AB118" i="6" s="1"/>
  <c r="AK14" i="6"/>
  <c r="Y14" i="6" s="1"/>
  <c r="AA14" i="6" s="1"/>
  <c r="AB14" i="6" s="1"/>
  <c r="AK7" i="6"/>
  <c r="Y7" i="6" s="1"/>
  <c r="AA7" i="6" s="1"/>
  <c r="AB7" i="6" s="1"/>
  <c r="AK311" i="6"/>
  <c r="Y311" i="6" s="1"/>
  <c r="AA311" i="6" s="1"/>
  <c r="AB311" i="6" s="1"/>
  <c r="AK291" i="6"/>
  <c r="Y291" i="6" s="1"/>
  <c r="AA291" i="6" s="1"/>
  <c r="AB291" i="6" s="1"/>
  <c r="AK9" i="6"/>
  <c r="Y9" i="6" s="1"/>
  <c r="AA9" i="6" s="1"/>
  <c r="AB9" i="6" s="1"/>
  <c r="AK17" i="6"/>
  <c r="Y17" i="6" s="1"/>
  <c r="AA17" i="6" s="1"/>
  <c r="AB17" i="6" s="1"/>
  <c r="AK185" i="6"/>
  <c r="Y185" i="6" s="1"/>
  <c r="AA185" i="6" s="1"/>
  <c r="AB185" i="6" s="1"/>
  <c r="AJ45" i="4"/>
  <c r="AK45" i="4" s="1"/>
  <c r="AP270" i="1"/>
  <c r="AR270" i="1"/>
  <c r="AQ28" i="1"/>
  <c r="AR28" i="1"/>
  <c r="AR38" i="2"/>
  <c r="AQ38" i="2"/>
  <c r="AP38" i="2"/>
  <c r="AM38" i="2"/>
  <c r="AT24" i="1"/>
  <c r="AR24" i="1"/>
  <c r="AQ24" i="1"/>
  <c r="AP24" i="1"/>
  <c r="AO24" i="1"/>
  <c r="AM24" i="1"/>
  <c r="AR234" i="1"/>
  <c r="AU234" i="1" s="1"/>
  <c r="AV234" i="1" s="1"/>
  <c r="AO34" i="2"/>
  <c r="AU34" i="2" s="1"/>
  <c r="AV34" i="2" s="1"/>
  <c r="AH34" i="2" s="1"/>
  <c r="AP221" i="1"/>
  <c r="AU221" i="1" s="1"/>
  <c r="AV221" i="1" s="1"/>
  <c r="AO217" i="1"/>
  <c r="AP217" i="1"/>
  <c r="AP178" i="1"/>
  <c r="AU178" i="1" s="1"/>
  <c r="AV178" i="1" s="1"/>
  <c r="AO118" i="1"/>
  <c r="AP118" i="1"/>
  <c r="AM16" i="1"/>
  <c r="AO16" i="1"/>
  <c r="AP16" i="1"/>
  <c r="AQ16" i="1"/>
  <c r="AR16" i="1"/>
  <c r="AT16" i="1"/>
  <c r="AM14" i="1"/>
  <c r="AO14" i="1"/>
  <c r="AP14" i="1"/>
  <c r="AQ14" i="1"/>
  <c r="AR14" i="1"/>
  <c r="AT14" i="1"/>
  <c r="AO109" i="1"/>
  <c r="AU109" i="1" s="1"/>
  <c r="AV109" i="1" s="1"/>
  <c r="AO103" i="1"/>
  <c r="AU103" i="1" s="1"/>
  <c r="AV103" i="1" s="1"/>
  <c r="AR91" i="1"/>
  <c r="AU91" i="1" s="1"/>
  <c r="AV91" i="1" s="1"/>
  <c r="AP77" i="1"/>
  <c r="AU77" i="1" s="1"/>
  <c r="AV77" i="1" s="1"/>
  <c r="AQ9" i="1"/>
  <c r="AR9" i="1"/>
  <c r="AQ43" i="1"/>
  <c r="AU43" i="1" s="1"/>
  <c r="AV43" i="1" s="1"/>
  <c r="AP37" i="1"/>
  <c r="AU37" i="1" s="1"/>
  <c r="AV37" i="1" s="1"/>
  <c r="AR266" i="6"/>
  <c r="AU266" i="6" s="1"/>
  <c r="AV266" i="6" s="1"/>
  <c r="AH266" i="6" s="1"/>
  <c r="AR42" i="6"/>
  <c r="AU42" i="6" s="1"/>
  <c r="AV42" i="6" s="1"/>
  <c r="AH42" i="6" s="1"/>
  <c r="AR248" i="6"/>
  <c r="AR13" i="6"/>
  <c r="AR10" i="6"/>
  <c r="AR110" i="1"/>
  <c r="AU110" i="1" s="1"/>
  <c r="AV110" i="1" s="1"/>
  <c r="AR182" i="1"/>
  <c r="AU182" i="1" s="1"/>
  <c r="AV182" i="1" s="1"/>
  <c r="AR236" i="6"/>
  <c r="AU236" i="6" s="1"/>
  <c r="AV236" i="6" s="1"/>
  <c r="AH236" i="6" s="1"/>
  <c r="AS279" i="6"/>
  <c r="AS272" i="6"/>
  <c r="AS52" i="6"/>
  <c r="AS211" i="6"/>
  <c r="AS122" i="6"/>
  <c r="AR279" i="6"/>
  <c r="AR122" i="6"/>
  <c r="AR272" i="6"/>
  <c r="AR52" i="6"/>
  <c r="AR211" i="6"/>
  <c r="AQ80" i="1"/>
  <c r="AR80" i="1"/>
  <c r="AR84" i="1"/>
  <c r="AS248" i="6"/>
  <c r="AR15" i="6"/>
  <c r="AR6" i="6"/>
  <c r="AR288" i="6"/>
  <c r="AR32" i="6"/>
  <c r="AU32" i="6" s="1"/>
  <c r="AV32" i="6" s="1"/>
  <c r="AH32" i="6" s="1"/>
  <c r="AR8" i="2"/>
  <c r="AR21" i="2"/>
  <c r="AR29" i="1"/>
  <c r="N33" i="2" l="1"/>
  <c r="P33" i="2" s="1"/>
  <c r="Q33" i="2" s="1"/>
  <c r="D33" i="2" s="1"/>
  <c r="N185" i="6"/>
  <c r="P185" i="6" s="1"/>
  <c r="Q185" i="6" s="1"/>
  <c r="D185" i="6" s="1"/>
  <c r="N9" i="6"/>
  <c r="P9" i="6" s="1"/>
  <c r="Q9" i="6" s="1"/>
  <c r="D9" i="6" s="1"/>
  <c r="N118" i="6"/>
  <c r="P118" i="6" s="1"/>
  <c r="Q118" i="6" s="1"/>
  <c r="D118" i="6" s="1"/>
  <c r="N302" i="6"/>
  <c r="P302" i="6" s="1"/>
  <c r="Q302" i="6" s="1"/>
  <c r="D302" i="6" s="1"/>
  <c r="N17" i="6"/>
  <c r="P17" i="6" s="1"/>
  <c r="Q17" i="6" s="1"/>
  <c r="D17" i="6" s="1"/>
  <c r="N7" i="6"/>
  <c r="P7" i="6" s="1"/>
  <c r="Q7" i="6" s="1"/>
  <c r="D7" i="6" s="1"/>
  <c r="N291" i="6"/>
  <c r="P291" i="6" s="1"/>
  <c r="Q291" i="6" s="1"/>
  <c r="D291" i="6" s="1"/>
  <c r="N14" i="6"/>
  <c r="P14" i="6" s="1"/>
  <c r="Q14" i="6" s="1"/>
  <c r="D14" i="6" s="1"/>
  <c r="N183" i="6"/>
  <c r="P183" i="6" s="1"/>
  <c r="Q183" i="6" s="1"/>
  <c r="D183" i="6" s="1"/>
  <c r="N36" i="6"/>
  <c r="P36" i="6" s="1"/>
  <c r="Q36" i="6" s="1"/>
  <c r="D36" i="6" s="1"/>
  <c r="N311" i="6"/>
  <c r="P311" i="6" s="1"/>
  <c r="Q311" i="6" s="1"/>
  <c r="D311" i="6" s="1"/>
  <c r="N81" i="6"/>
  <c r="P81" i="6" s="1"/>
  <c r="Q81" i="6" s="1"/>
  <c r="D81" i="6" s="1"/>
  <c r="N40" i="4"/>
  <c r="P40" i="4" s="1"/>
  <c r="Q40" i="4" s="1"/>
  <c r="D40" i="4" s="1"/>
  <c r="N10" i="4"/>
  <c r="P10" i="4" s="1"/>
  <c r="Q10" i="4" s="1"/>
  <c r="D10" i="4" s="1"/>
  <c r="N26" i="4"/>
  <c r="P26" i="4" s="1"/>
  <c r="Q26" i="4" s="1"/>
  <c r="D26" i="4" s="1"/>
  <c r="N21" i="4"/>
  <c r="P21" i="4" s="1"/>
  <c r="Q21" i="4" s="1"/>
  <c r="D21" i="4" s="1"/>
  <c r="N38" i="4"/>
  <c r="P38" i="4" s="1"/>
  <c r="Q38" i="4" s="1"/>
  <c r="D38" i="4" s="1"/>
  <c r="N41" i="4"/>
  <c r="P41" i="4" s="1"/>
  <c r="Q41" i="4" s="1"/>
  <c r="D41" i="4" s="1"/>
  <c r="Y45" i="4"/>
  <c r="AA45" i="4" s="1"/>
  <c r="AB45" i="4" s="1"/>
  <c r="Y191" i="3"/>
  <c r="AA191" i="3" s="1"/>
  <c r="AB191" i="3" s="1"/>
  <c r="N191" i="3" s="1"/>
  <c r="P191" i="3" s="1"/>
  <c r="Q191" i="3" s="1"/>
  <c r="D191" i="3" s="1"/>
  <c r="Y414" i="3"/>
  <c r="AA414" i="3" s="1"/>
  <c r="AB414" i="3" s="1"/>
  <c r="N414" i="3" s="1"/>
  <c r="P414" i="3" s="1"/>
  <c r="Q414" i="3" s="1"/>
  <c r="D414" i="3" s="1"/>
  <c r="Y348" i="3"/>
  <c r="AA348" i="3" s="1"/>
  <c r="AB348" i="3" s="1"/>
  <c r="N348" i="3" s="1"/>
  <c r="P348" i="3" s="1"/>
  <c r="Q348" i="3" s="1"/>
  <c r="D348" i="3" s="1"/>
  <c r="Y72" i="3"/>
  <c r="AA72" i="3" s="1"/>
  <c r="AB72" i="3" s="1"/>
  <c r="N72" i="3" s="1"/>
  <c r="P72" i="3" s="1"/>
  <c r="Q72" i="3" s="1"/>
  <c r="D72" i="3" s="1"/>
  <c r="Y430" i="3"/>
  <c r="AA430" i="3" s="1"/>
  <c r="AB430" i="3" s="1"/>
  <c r="N430" i="3" s="1"/>
  <c r="P430" i="3" s="1"/>
  <c r="Q430" i="3" s="1"/>
  <c r="D430" i="3" s="1"/>
  <c r="Y346" i="3"/>
  <c r="AA346" i="3" s="1"/>
  <c r="AB346" i="3" s="1"/>
  <c r="N346" i="3" s="1"/>
  <c r="P346" i="3" s="1"/>
  <c r="Q346" i="3" s="1"/>
  <c r="D346" i="3" s="1"/>
  <c r="Y268" i="3"/>
  <c r="AA268" i="3" s="1"/>
  <c r="AB268" i="3" s="1"/>
  <c r="N268" i="3" s="1"/>
  <c r="P268" i="3" s="1"/>
  <c r="Q268" i="3" s="1"/>
  <c r="D268" i="3" s="1"/>
  <c r="Y13" i="3"/>
  <c r="AA13" i="3" s="1"/>
  <c r="AB13" i="3" s="1"/>
  <c r="N13" i="3" s="1"/>
  <c r="P13" i="3" s="1"/>
  <c r="Q13" i="3" s="1"/>
  <c r="D13" i="3" s="1"/>
  <c r="Y129" i="3"/>
  <c r="AA129" i="3" s="1"/>
  <c r="AB129" i="3" s="1"/>
  <c r="N129" i="3" s="1"/>
  <c r="P129" i="3" s="1"/>
  <c r="Q129" i="3" s="1"/>
  <c r="D129" i="3" s="1"/>
  <c r="Y16" i="3"/>
  <c r="AA16" i="3" s="1"/>
  <c r="AB16" i="3" s="1"/>
  <c r="N16" i="3" s="1"/>
  <c r="P16" i="3" s="1"/>
  <c r="Q16" i="3" s="1"/>
  <c r="D16" i="3" s="1"/>
  <c r="Y425" i="3"/>
  <c r="AA425" i="3" s="1"/>
  <c r="AB425" i="3" s="1"/>
  <c r="N425" i="3" s="1"/>
  <c r="P425" i="3" s="1"/>
  <c r="Q425" i="3" s="1"/>
  <c r="D425" i="3" s="1"/>
  <c r="Y20" i="3"/>
  <c r="AA20" i="3" s="1"/>
  <c r="AB20" i="3" s="1"/>
  <c r="N20" i="3" s="1"/>
  <c r="P20" i="3" s="1"/>
  <c r="Q20" i="3" s="1"/>
  <c r="D20" i="3" s="1"/>
  <c r="Y395" i="3"/>
  <c r="AA395" i="3" s="1"/>
  <c r="AB395" i="3" s="1"/>
  <c r="N395" i="3" s="1"/>
  <c r="P395" i="3" s="1"/>
  <c r="Q395" i="3" s="1"/>
  <c r="D395" i="3" s="1"/>
  <c r="Y177" i="3"/>
  <c r="AA177" i="3" s="1"/>
  <c r="AB177" i="3" s="1"/>
  <c r="N177" i="3" s="1"/>
  <c r="P177" i="3" s="1"/>
  <c r="Q177" i="3" s="1"/>
  <c r="D177" i="3" s="1"/>
  <c r="Y436" i="3"/>
  <c r="AA436" i="3" s="1"/>
  <c r="AB436" i="3" s="1"/>
  <c r="N436" i="3" s="1"/>
  <c r="P436" i="3" s="1"/>
  <c r="Q436" i="3" s="1"/>
  <c r="D436" i="3" s="1"/>
  <c r="Y445" i="3"/>
  <c r="AA445" i="3" s="1"/>
  <c r="AB445" i="3" s="1"/>
  <c r="N445" i="3" s="1"/>
  <c r="P445" i="3" s="1"/>
  <c r="Q445" i="3" s="1"/>
  <c r="D445" i="3" s="1"/>
  <c r="Y288" i="3"/>
  <c r="AA288" i="3" s="1"/>
  <c r="AB288" i="3" s="1"/>
  <c r="N288" i="3" s="1"/>
  <c r="P288" i="3" s="1"/>
  <c r="Q288" i="3" s="1"/>
  <c r="D288" i="3" s="1"/>
  <c r="Y250" i="3"/>
  <c r="AA250" i="3" s="1"/>
  <c r="AB250" i="3" s="1"/>
  <c r="N250" i="3" s="1"/>
  <c r="P250" i="3" s="1"/>
  <c r="Q250" i="3" s="1"/>
  <c r="D250" i="3" s="1"/>
  <c r="Y434" i="3"/>
  <c r="AA434" i="3" s="1"/>
  <c r="AB434" i="3" s="1"/>
  <c r="N434" i="3" s="1"/>
  <c r="P434" i="3" s="1"/>
  <c r="Q434" i="3" s="1"/>
  <c r="D434" i="3" s="1"/>
  <c r="Y195" i="3"/>
  <c r="AA195" i="3" s="1"/>
  <c r="AB195" i="3" s="1"/>
  <c r="N195" i="3" s="1"/>
  <c r="P195" i="3" s="1"/>
  <c r="Q195" i="3" s="1"/>
  <c r="D195" i="3" s="1"/>
  <c r="Y342" i="3"/>
  <c r="AA342" i="3" s="1"/>
  <c r="AB342" i="3" s="1"/>
  <c r="N342" i="3" s="1"/>
  <c r="P342" i="3" s="1"/>
  <c r="Q342" i="3" s="1"/>
  <c r="D342" i="3" s="1"/>
  <c r="Y142" i="3"/>
  <c r="AA142" i="3" s="1"/>
  <c r="AB142" i="3" s="1"/>
  <c r="N142" i="3" s="1"/>
  <c r="P142" i="3" s="1"/>
  <c r="Q142" i="3" s="1"/>
  <c r="D142" i="3" s="1"/>
  <c r="AU9" i="1"/>
  <c r="AV9" i="1" s="1"/>
  <c r="AU16" i="1"/>
  <c r="AV16" i="1" s="1"/>
  <c r="AU28" i="1"/>
  <c r="AV28" i="1" s="1"/>
  <c r="AU14" i="1"/>
  <c r="AV14" i="1" s="1"/>
  <c r="AU24" i="1"/>
  <c r="AV24" i="1" s="1"/>
  <c r="AU118" i="1"/>
  <c r="AV118" i="1" s="1"/>
  <c r="AU217" i="1"/>
  <c r="AV217" i="1" s="1"/>
  <c r="AU270" i="1"/>
  <c r="AV270" i="1" s="1"/>
  <c r="AJ236" i="6"/>
  <c r="AJ42" i="6"/>
  <c r="AJ32" i="6"/>
  <c r="AJ266" i="6"/>
  <c r="AJ34" i="2"/>
  <c r="AK34" i="2" s="1"/>
  <c r="AU122" i="6"/>
  <c r="AV122" i="6" s="1"/>
  <c r="AH122" i="6" s="1"/>
  <c r="AU211" i="6"/>
  <c r="AV211" i="6" s="1"/>
  <c r="AH211" i="6" s="1"/>
  <c r="AU272" i="6"/>
  <c r="AV272" i="6" s="1"/>
  <c r="AH272" i="6" s="1"/>
  <c r="AU248" i="6"/>
  <c r="AV248" i="6" s="1"/>
  <c r="AH248" i="6" s="1"/>
  <c r="AU52" i="6"/>
  <c r="AV52" i="6" s="1"/>
  <c r="AH52" i="6" s="1"/>
  <c r="AU279" i="6"/>
  <c r="AV279" i="6" s="1"/>
  <c r="AH279" i="6" s="1"/>
  <c r="AH182" i="1"/>
  <c r="AH110" i="1"/>
  <c r="AU38" i="2"/>
  <c r="AV38" i="2" s="1"/>
  <c r="AH38" i="2" s="1"/>
  <c r="AU8" i="2"/>
  <c r="AV8" i="2" s="1"/>
  <c r="AH8" i="2" s="1"/>
  <c r="N45" i="4" l="1"/>
  <c r="P45" i="4" s="1"/>
  <c r="Q45" i="4" s="1"/>
  <c r="D45" i="4" s="1"/>
  <c r="Y34" i="2"/>
  <c r="AA34" i="2" s="1"/>
  <c r="AB34" i="2" s="1"/>
  <c r="AJ110" i="1"/>
  <c r="AK110" i="1" s="1"/>
  <c r="Y110" i="1" s="1"/>
  <c r="AA110" i="1" s="1"/>
  <c r="AB110" i="1" s="1"/>
  <c r="AJ182" i="1"/>
  <c r="AK182" i="1" s="1"/>
  <c r="Y182" i="1" s="1"/>
  <c r="AA182" i="1" s="1"/>
  <c r="AB182" i="1" s="1"/>
  <c r="AK32" i="6"/>
  <c r="Y32" i="6" s="1"/>
  <c r="AA32" i="6" s="1"/>
  <c r="AB32" i="6" s="1"/>
  <c r="AK42" i="6"/>
  <c r="Y42" i="6" s="1"/>
  <c r="AA42" i="6" s="1"/>
  <c r="AB42" i="6" s="1"/>
  <c r="AK266" i="6"/>
  <c r="Y266" i="6" s="1"/>
  <c r="AA266" i="6" s="1"/>
  <c r="AB266" i="6" s="1"/>
  <c r="AK236" i="6"/>
  <c r="Y236" i="6" s="1"/>
  <c r="AA236" i="6" s="1"/>
  <c r="AB236" i="6" s="1"/>
  <c r="AJ279" i="6"/>
  <c r="AJ248" i="6"/>
  <c r="AJ211" i="6"/>
  <c r="AJ52" i="6"/>
  <c r="AJ272" i="6"/>
  <c r="AJ122" i="6"/>
  <c r="AJ8" i="2"/>
  <c r="AK8" i="2" s="1"/>
  <c r="AJ38" i="2"/>
  <c r="AK38" i="2" s="1"/>
  <c r="AH270" i="1"/>
  <c r="AH103" i="1"/>
  <c r="AH217" i="1"/>
  <c r="AH234" i="1"/>
  <c r="AH37" i="1"/>
  <c r="AH14" i="1"/>
  <c r="AH221" i="1"/>
  <c r="AH109" i="1"/>
  <c r="AH24" i="1"/>
  <c r="AH28" i="1"/>
  <c r="AH16" i="1"/>
  <c r="AH43" i="1"/>
  <c r="AH9" i="1"/>
  <c r="AH91" i="1"/>
  <c r="AH77" i="1"/>
  <c r="AH118" i="1"/>
  <c r="AH178" i="1"/>
  <c r="AR159" i="1"/>
  <c r="AR35" i="1"/>
  <c r="AR160" i="1"/>
  <c r="AU160" i="1" s="1"/>
  <c r="AV160" i="1" s="1"/>
  <c r="AR191" i="1"/>
  <c r="AU191" i="1" s="1"/>
  <c r="AV191" i="1" s="1"/>
  <c r="AR181" i="1"/>
  <c r="AU181" i="1" s="1"/>
  <c r="AV181" i="1" s="1"/>
  <c r="AR38" i="1"/>
  <c r="AU38" i="1" s="1"/>
  <c r="AV38" i="1" s="1"/>
  <c r="AR264" i="1"/>
  <c r="AR61" i="1"/>
  <c r="AU61" i="1" s="1"/>
  <c r="AV61" i="1" s="1"/>
  <c r="AR280" i="1"/>
  <c r="AU280" i="1" s="1"/>
  <c r="AV280" i="1" s="1"/>
  <c r="AR22" i="1"/>
  <c r="AR55" i="1"/>
  <c r="AR16" i="5"/>
  <c r="AR46" i="5"/>
  <c r="AR32" i="5"/>
  <c r="AQ44" i="2"/>
  <c r="AQ6" i="1"/>
  <c r="N34" i="2" l="1"/>
  <c r="P34" i="2" s="1"/>
  <c r="Q34" i="2" s="1"/>
  <c r="D34" i="2" s="1"/>
  <c r="N266" i="6"/>
  <c r="P266" i="6" s="1"/>
  <c r="Q266" i="6" s="1"/>
  <c r="D266" i="6" s="1"/>
  <c r="N42" i="6"/>
  <c r="P42" i="6" s="1"/>
  <c r="Q42" i="6" s="1"/>
  <c r="D42" i="6" s="1"/>
  <c r="N236" i="6"/>
  <c r="P236" i="6" s="1"/>
  <c r="Q236" i="6" s="1"/>
  <c r="D236" i="6" s="1"/>
  <c r="N32" i="6"/>
  <c r="P32" i="6" s="1"/>
  <c r="Q32" i="6" s="1"/>
  <c r="D32" i="6" s="1"/>
  <c r="N182" i="1"/>
  <c r="P182" i="1" s="1"/>
  <c r="Q182" i="1" s="1"/>
  <c r="D182" i="1" s="1"/>
  <c r="N110" i="1"/>
  <c r="P110" i="1" s="1"/>
  <c r="Q110" i="1" s="1"/>
  <c r="D110" i="1" s="1"/>
  <c r="Y8" i="2"/>
  <c r="AA8" i="2" s="1"/>
  <c r="AB8" i="2" s="1"/>
  <c r="Y38" i="2"/>
  <c r="AA38" i="2" s="1"/>
  <c r="AB38" i="2" s="1"/>
  <c r="AJ77" i="1"/>
  <c r="AK77" i="1" s="1"/>
  <c r="Y77" i="1" s="1"/>
  <c r="AA77" i="1" s="1"/>
  <c r="AB77" i="1" s="1"/>
  <c r="AJ103" i="1"/>
  <c r="AK103" i="1" s="1"/>
  <c r="Y103" i="1" s="1"/>
  <c r="AA103" i="1" s="1"/>
  <c r="AB103" i="1" s="1"/>
  <c r="AJ16" i="1"/>
  <c r="AK16" i="1" s="1"/>
  <c r="Y16" i="1" s="1"/>
  <c r="AA16" i="1" s="1"/>
  <c r="AB16" i="1" s="1"/>
  <c r="AJ28" i="1"/>
  <c r="AK28" i="1" s="1"/>
  <c r="Y28" i="1" s="1"/>
  <c r="AA28" i="1" s="1"/>
  <c r="AB28" i="1" s="1"/>
  <c r="AJ109" i="1"/>
  <c r="AK109" i="1" s="1"/>
  <c r="Y109" i="1" s="1"/>
  <c r="AA109" i="1" s="1"/>
  <c r="AB109" i="1" s="1"/>
  <c r="AJ221" i="1"/>
  <c r="AK221" i="1" s="1"/>
  <c r="Y221" i="1" s="1"/>
  <c r="AA221" i="1" s="1"/>
  <c r="AB221" i="1" s="1"/>
  <c r="AJ118" i="1"/>
  <c r="AK118" i="1" s="1"/>
  <c r="Y118" i="1" s="1"/>
  <c r="AA118" i="1" s="1"/>
  <c r="AB118" i="1" s="1"/>
  <c r="AJ270" i="1"/>
  <c r="AK270" i="1" s="1"/>
  <c r="Y270" i="1" s="1"/>
  <c r="AA270" i="1" s="1"/>
  <c r="AB270" i="1" s="1"/>
  <c r="AJ178" i="1"/>
  <c r="AK178" i="1" s="1"/>
  <c r="Y178" i="1" s="1"/>
  <c r="AA178" i="1" s="1"/>
  <c r="AB178" i="1" s="1"/>
  <c r="AJ43" i="1"/>
  <c r="AK43" i="1" s="1"/>
  <c r="Y43" i="1" s="1"/>
  <c r="AA43" i="1" s="1"/>
  <c r="AB43" i="1" s="1"/>
  <c r="AJ14" i="1"/>
  <c r="AK14" i="1" s="1"/>
  <c r="Y14" i="1" s="1"/>
  <c r="AA14" i="1" s="1"/>
  <c r="AB14" i="1" s="1"/>
  <c r="AJ37" i="1"/>
  <c r="AK37" i="1" s="1"/>
  <c r="Y37" i="1" s="1"/>
  <c r="AA37" i="1" s="1"/>
  <c r="AB37" i="1" s="1"/>
  <c r="AJ234" i="1"/>
  <c r="AK234" i="1" s="1"/>
  <c r="Y234" i="1" s="1"/>
  <c r="AA234" i="1" s="1"/>
  <c r="AB234" i="1" s="1"/>
  <c r="AJ217" i="1"/>
  <c r="AK217" i="1" s="1"/>
  <c r="Y217" i="1" s="1"/>
  <c r="AA217" i="1" s="1"/>
  <c r="AB217" i="1" s="1"/>
  <c r="AJ91" i="1"/>
  <c r="AK91" i="1" s="1"/>
  <c r="Y91" i="1" s="1"/>
  <c r="AA91" i="1" s="1"/>
  <c r="AB91" i="1" s="1"/>
  <c r="AJ9" i="1"/>
  <c r="AK9" i="1" s="1"/>
  <c r="Y9" i="1" s="1"/>
  <c r="AA9" i="1" s="1"/>
  <c r="AB9" i="1" s="1"/>
  <c r="AJ24" i="1"/>
  <c r="AK24" i="1" s="1"/>
  <c r="Y24" i="1" s="1"/>
  <c r="AA24" i="1" s="1"/>
  <c r="AB24" i="1" s="1"/>
  <c r="AK272" i="6"/>
  <c r="Y272" i="6" s="1"/>
  <c r="AA272" i="6" s="1"/>
  <c r="AB272" i="6" s="1"/>
  <c r="AK211" i="6"/>
  <c r="Y211" i="6" s="1"/>
  <c r="AA211" i="6" s="1"/>
  <c r="AB211" i="6" s="1"/>
  <c r="AK279" i="6"/>
  <c r="Y279" i="6" s="1"/>
  <c r="AA279" i="6" s="1"/>
  <c r="AB279" i="6" s="1"/>
  <c r="AK122" i="6"/>
  <c r="Y122" i="6" s="1"/>
  <c r="AA122" i="6" s="1"/>
  <c r="AB122" i="6" s="1"/>
  <c r="AK52" i="6"/>
  <c r="Y52" i="6" s="1"/>
  <c r="AA52" i="6" s="1"/>
  <c r="AB52" i="6" s="1"/>
  <c r="AK248" i="6"/>
  <c r="Y248" i="6" s="1"/>
  <c r="AA248" i="6" s="1"/>
  <c r="AB248" i="6" s="1"/>
  <c r="AU44" i="2"/>
  <c r="AV44" i="2" s="1"/>
  <c r="AH44" i="2" s="1"/>
  <c r="AQ21" i="2"/>
  <c r="AQ107" i="1"/>
  <c r="AQ29" i="1"/>
  <c r="AQ21" i="5"/>
  <c r="AQ6" i="5"/>
  <c r="AQ27" i="5"/>
  <c r="AQ46" i="5"/>
  <c r="AQ16" i="5"/>
  <c r="AQ32" i="5"/>
  <c r="AQ25" i="5"/>
  <c r="AQ55" i="1"/>
  <c r="AU55" i="1" s="1"/>
  <c r="AV55" i="1" s="1"/>
  <c r="AQ81" i="1"/>
  <c r="AU81" i="1" s="1"/>
  <c r="AV81" i="1" s="1"/>
  <c r="AQ248" i="1"/>
  <c r="AU248" i="1" s="1"/>
  <c r="AV248" i="1" s="1"/>
  <c r="AQ277" i="1"/>
  <c r="AU277" i="1" s="1"/>
  <c r="AV277" i="1" s="1"/>
  <c r="AQ147" i="1"/>
  <c r="AU147" i="1" s="1"/>
  <c r="AV147" i="1" s="1"/>
  <c r="AQ22" i="1"/>
  <c r="AU22" i="1" s="1"/>
  <c r="AV22" i="1" s="1"/>
  <c r="AQ264" i="1"/>
  <c r="AQ84" i="1"/>
  <c r="AQ140" i="1"/>
  <c r="AU140" i="1" s="1"/>
  <c r="AV140" i="1" s="1"/>
  <c r="AP301" i="6"/>
  <c r="AU301" i="6" s="1"/>
  <c r="AV301" i="6" s="1"/>
  <c r="AH301" i="6" s="1"/>
  <c r="AP27" i="8"/>
  <c r="AP16" i="6"/>
  <c r="AP15" i="6"/>
  <c r="AP6" i="6"/>
  <c r="AP241" i="6"/>
  <c r="AU241" i="6" s="1"/>
  <c r="AV241" i="6" s="1"/>
  <c r="AH241" i="6" s="1"/>
  <c r="AP299" i="6"/>
  <c r="AU299" i="6" s="1"/>
  <c r="AV299" i="6" s="1"/>
  <c r="AH299" i="6" s="1"/>
  <c r="AP308" i="6"/>
  <c r="AU308" i="6" s="1"/>
  <c r="AV308" i="6" s="1"/>
  <c r="AH308" i="6" s="1"/>
  <c r="AP89" i="6"/>
  <c r="AU89" i="6" s="1"/>
  <c r="AV89" i="6" s="1"/>
  <c r="AH89" i="6" s="1"/>
  <c r="AP120" i="1"/>
  <c r="AU120" i="1" s="1"/>
  <c r="AV120" i="1" s="1"/>
  <c r="AP6" i="1"/>
  <c r="AU6" i="1" s="1"/>
  <c r="AV6" i="1" s="1"/>
  <c r="AP123" i="6"/>
  <c r="AU123" i="6" s="1"/>
  <c r="AV123" i="6" s="1"/>
  <c r="AH123" i="6" s="1"/>
  <c r="AP13" i="6"/>
  <c r="AP228" i="6"/>
  <c r="AP288" i="6"/>
  <c r="AU288" i="6" s="1"/>
  <c r="AV288" i="6" s="1"/>
  <c r="AH288" i="6" s="1"/>
  <c r="AS15" i="6"/>
  <c r="AS6" i="6"/>
  <c r="AP10" i="6"/>
  <c r="AP48" i="6"/>
  <c r="AU48" i="6" s="1"/>
  <c r="AV48" i="6" s="1"/>
  <c r="AH48" i="6" s="1"/>
  <c r="AP263" i="6"/>
  <c r="AU263" i="6" s="1"/>
  <c r="AV263" i="6" s="1"/>
  <c r="AH263" i="6" s="1"/>
  <c r="AP79" i="6"/>
  <c r="AU79" i="6" s="1"/>
  <c r="AV79" i="6" s="1"/>
  <c r="AH79" i="6" s="1"/>
  <c r="AP16" i="8"/>
  <c r="AS16" i="8"/>
  <c r="AP139" i="6"/>
  <c r="AU139" i="6" s="1"/>
  <c r="AV139" i="6" s="1"/>
  <c r="AH139" i="6" s="1"/>
  <c r="AP21" i="2"/>
  <c r="AP26" i="2"/>
  <c r="AP237" i="1"/>
  <c r="AU237" i="1" s="1"/>
  <c r="AV237" i="1" s="1"/>
  <c r="AP107" i="1"/>
  <c r="AP29" i="1"/>
  <c r="AP159" i="1"/>
  <c r="AS159" i="1"/>
  <c r="AP36" i="2"/>
  <c r="AP80" i="1"/>
  <c r="AU80" i="1" s="1"/>
  <c r="AV80" i="1" s="1"/>
  <c r="AP264" i="1"/>
  <c r="AP84" i="1"/>
  <c r="AP35" i="1"/>
  <c r="AO35" i="1"/>
  <c r="AM35" i="1"/>
  <c r="N8" i="2" l="1"/>
  <c r="P8" i="2" s="1"/>
  <c r="Q8" i="2" s="1"/>
  <c r="D8" i="2" s="1"/>
  <c r="N38" i="2"/>
  <c r="P38" i="2" s="1"/>
  <c r="Q38" i="2" s="1"/>
  <c r="D38" i="2" s="1"/>
  <c r="N279" i="6"/>
  <c r="P279" i="6" s="1"/>
  <c r="Q279" i="6" s="1"/>
  <c r="D279" i="6" s="1"/>
  <c r="N272" i="6"/>
  <c r="P272" i="6" s="1"/>
  <c r="Q272" i="6" s="1"/>
  <c r="D272" i="6" s="1"/>
  <c r="N248" i="6"/>
  <c r="P248" i="6" s="1"/>
  <c r="Q248" i="6" s="1"/>
  <c r="D248" i="6" s="1"/>
  <c r="N211" i="6"/>
  <c r="P211" i="6" s="1"/>
  <c r="Q211" i="6" s="1"/>
  <c r="D211" i="6" s="1"/>
  <c r="N52" i="6"/>
  <c r="P52" i="6" s="1"/>
  <c r="Q52" i="6" s="1"/>
  <c r="D52" i="6" s="1"/>
  <c r="N122" i="6"/>
  <c r="P122" i="6" s="1"/>
  <c r="Q122" i="6" s="1"/>
  <c r="D122" i="6" s="1"/>
  <c r="N118" i="1"/>
  <c r="P118" i="1" s="1"/>
  <c r="Q118" i="1" s="1"/>
  <c r="D118" i="1" s="1"/>
  <c r="N28" i="1"/>
  <c r="P28" i="1" s="1"/>
  <c r="Q28" i="1" s="1"/>
  <c r="D28" i="1" s="1"/>
  <c r="N178" i="1"/>
  <c r="P178" i="1" s="1"/>
  <c r="Q178" i="1" s="1"/>
  <c r="D178" i="1" s="1"/>
  <c r="N16" i="1"/>
  <c r="P16" i="1" s="1"/>
  <c r="Q16" i="1" s="1"/>
  <c r="D16" i="1" s="1"/>
  <c r="N9" i="1"/>
  <c r="P9" i="1" s="1"/>
  <c r="Q9" i="1" s="1"/>
  <c r="D9" i="1" s="1"/>
  <c r="N217" i="1"/>
  <c r="P217" i="1" s="1"/>
  <c r="Q217" i="1" s="1"/>
  <c r="D217" i="1" s="1"/>
  <c r="N221" i="1"/>
  <c r="P221" i="1" s="1"/>
  <c r="Q221" i="1" s="1"/>
  <c r="D221" i="1" s="1"/>
  <c r="N103" i="1"/>
  <c r="P103" i="1" s="1"/>
  <c r="Q103" i="1" s="1"/>
  <c r="D103" i="1" s="1"/>
  <c r="N91" i="1"/>
  <c r="P91" i="1" s="1"/>
  <c r="Q91" i="1" s="1"/>
  <c r="D91" i="1" s="1"/>
  <c r="N234" i="1"/>
  <c r="P234" i="1" s="1"/>
  <c r="Q234" i="1" s="1"/>
  <c r="D234" i="1" s="1"/>
  <c r="N270" i="1"/>
  <c r="P270" i="1" s="1"/>
  <c r="Q270" i="1" s="1"/>
  <c r="D270" i="1" s="1"/>
  <c r="N77" i="1"/>
  <c r="P77" i="1" s="1"/>
  <c r="Q77" i="1" s="1"/>
  <c r="D77" i="1" s="1"/>
  <c r="N37" i="1"/>
  <c r="P37" i="1" s="1"/>
  <c r="Q37" i="1" s="1"/>
  <c r="D37" i="1" s="1"/>
  <c r="N43" i="1"/>
  <c r="P43" i="1" s="1"/>
  <c r="Q43" i="1" s="1"/>
  <c r="D43" i="1" s="1"/>
  <c r="N109" i="1"/>
  <c r="P109" i="1" s="1"/>
  <c r="Q109" i="1" s="1"/>
  <c r="D109" i="1" s="1"/>
  <c r="N24" i="1"/>
  <c r="P24" i="1" s="1"/>
  <c r="Q24" i="1" s="1"/>
  <c r="D24" i="1" s="1"/>
  <c r="N14" i="1"/>
  <c r="P14" i="1" s="1"/>
  <c r="Q14" i="1" s="1"/>
  <c r="D14" i="1" s="1"/>
  <c r="AU35" i="1"/>
  <c r="AV35" i="1" s="1"/>
  <c r="AU159" i="1"/>
  <c r="AV159" i="1" s="1"/>
  <c r="AU84" i="1"/>
  <c r="AV84" i="1" s="1"/>
  <c r="AJ288" i="6"/>
  <c r="AJ123" i="6"/>
  <c r="AJ299" i="6"/>
  <c r="AJ139" i="6"/>
  <c r="AJ263" i="6"/>
  <c r="AJ89" i="6"/>
  <c r="AJ308" i="6"/>
  <c r="AJ241" i="6"/>
  <c r="AJ79" i="6"/>
  <c r="AJ48" i="6"/>
  <c r="AJ301" i="6"/>
  <c r="AJ44" i="2"/>
  <c r="AK44" i="2" s="1"/>
  <c r="AU16" i="8"/>
  <c r="AV16" i="8" s="1"/>
  <c r="AH16" i="8" s="1"/>
  <c r="AU15" i="6"/>
  <c r="AV15" i="6" s="1"/>
  <c r="AH15" i="6" s="1"/>
  <c r="AU27" i="8"/>
  <c r="AV27" i="8" s="1"/>
  <c r="AH27" i="8" s="1"/>
  <c r="AU6" i="6"/>
  <c r="AH181" i="1"/>
  <c r="AH61" i="1"/>
  <c r="AH160" i="1"/>
  <c r="AH191" i="1"/>
  <c r="AH38" i="1"/>
  <c r="AH280" i="1"/>
  <c r="AU21" i="5"/>
  <c r="AV21" i="5" s="1"/>
  <c r="AH21" i="5" s="1"/>
  <c r="AU16" i="5"/>
  <c r="AV16" i="5" s="1"/>
  <c r="AH16" i="5" s="1"/>
  <c r="AU25" i="5"/>
  <c r="AV25" i="5" s="1"/>
  <c r="AH25" i="5" s="1"/>
  <c r="AU6" i="5"/>
  <c r="AV6" i="5" s="1"/>
  <c r="AH6" i="5" s="1"/>
  <c r="AJ6" i="5" s="1"/>
  <c r="AU27" i="5"/>
  <c r="AV27" i="5" s="1"/>
  <c r="AH27" i="5" s="1"/>
  <c r="Y44" i="2" l="1"/>
  <c r="AA44" i="2" s="1"/>
  <c r="AB44" i="2" s="1"/>
  <c r="AJ61" i="1"/>
  <c r="AK61" i="1" s="1"/>
  <c r="Y61" i="1" s="1"/>
  <c r="AA61" i="1" s="1"/>
  <c r="AB61" i="1" s="1"/>
  <c r="AJ191" i="1"/>
  <c r="AK191" i="1" s="1"/>
  <c r="Y191" i="1" s="1"/>
  <c r="AA191" i="1" s="1"/>
  <c r="AB191" i="1" s="1"/>
  <c r="AJ160" i="1"/>
  <c r="AK160" i="1" s="1"/>
  <c r="Y160" i="1" s="1"/>
  <c r="AA160" i="1" s="1"/>
  <c r="AB160" i="1" s="1"/>
  <c r="AJ181" i="1"/>
  <c r="AK181" i="1" s="1"/>
  <c r="Y181" i="1" s="1"/>
  <c r="AA181" i="1" s="1"/>
  <c r="AB181" i="1" s="1"/>
  <c r="AJ280" i="1"/>
  <c r="AK280" i="1" s="1"/>
  <c r="Y280" i="1" s="1"/>
  <c r="AA280" i="1" s="1"/>
  <c r="AB280" i="1" s="1"/>
  <c r="AJ38" i="1"/>
  <c r="AK38" i="1" s="1"/>
  <c r="Y38" i="1" s="1"/>
  <c r="AA38" i="1" s="1"/>
  <c r="AB38" i="1" s="1"/>
  <c r="AK139" i="6"/>
  <c r="Y139" i="6" s="1"/>
  <c r="AA139" i="6" s="1"/>
  <c r="AB139" i="6" s="1"/>
  <c r="AK89" i="6"/>
  <c r="Y89" i="6" s="1"/>
  <c r="AA89" i="6" s="1"/>
  <c r="AB89" i="6" s="1"/>
  <c r="AK299" i="6"/>
  <c r="Y299" i="6" s="1"/>
  <c r="AA299" i="6" s="1"/>
  <c r="AB299" i="6" s="1"/>
  <c r="AK288" i="6"/>
  <c r="Y288" i="6" s="1"/>
  <c r="AA288" i="6" s="1"/>
  <c r="AB288" i="6" s="1"/>
  <c r="AK48" i="6"/>
  <c r="Y48" i="6" s="1"/>
  <c r="AA48" i="6" s="1"/>
  <c r="AB48" i="6" s="1"/>
  <c r="AK241" i="6"/>
  <c r="Y241" i="6" s="1"/>
  <c r="AA241" i="6" s="1"/>
  <c r="AB241" i="6" s="1"/>
  <c r="AK123" i="6"/>
  <c r="Y123" i="6" s="1"/>
  <c r="AA123" i="6" s="1"/>
  <c r="AB123" i="6" s="1"/>
  <c r="AK79" i="6"/>
  <c r="Y79" i="6" s="1"/>
  <c r="AA79" i="6" s="1"/>
  <c r="AB79" i="6" s="1"/>
  <c r="AK308" i="6"/>
  <c r="Y308" i="6" s="1"/>
  <c r="AA308" i="6" s="1"/>
  <c r="AB308" i="6" s="1"/>
  <c r="AK263" i="6"/>
  <c r="Y263" i="6" s="1"/>
  <c r="AA263" i="6" s="1"/>
  <c r="AB263" i="6" s="1"/>
  <c r="AK301" i="6"/>
  <c r="Y301" i="6" s="1"/>
  <c r="AA301" i="6" s="1"/>
  <c r="AB301" i="6" s="1"/>
  <c r="AJ16" i="8"/>
  <c r="AJ27" i="8"/>
  <c r="AJ15" i="6"/>
  <c r="AJ16" i="5"/>
  <c r="AK16" i="5" s="1"/>
  <c r="Y16" i="5" s="1"/>
  <c r="AA16" i="5" s="1"/>
  <c r="AB16" i="5" s="1"/>
  <c r="AJ27" i="5"/>
  <c r="AK27" i="5" s="1"/>
  <c r="Y27" i="5" s="1"/>
  <c r="AA27" i="5" s="1"/>
  <c r="AB27" i="5" s="1"/>
  <c r="AJ21" i="5"/>
  <c r="AK21" i="5" s="1"/>
  <c r="Y21" i="5" s="1"/>
  <c r="AA21" i="5" s="1"/>
  <c r="AB21" i="5" s="1"/>
  <c r="AJ25" i="5"/>
  <c r="AK25" i="5" s="1"/>
  <c r="Y25" i="5" s="1"/>
  <c r="AA25" i="5" s="1"/>
  <c r="AB25" i="5" s="1"/>
  <c r="AV6" i="6"/>
  <c r="AH6" i="6" s="1"/>
  <c r="AH120" i="1"/>
  <c r="AH55" i="1"/>
  <c r="AH277" i="1"/>
  <c r="AH248" i="1"/>
  <c r="AH147" i="1"/>
  <c r="AH35" i="1"/>
  <c r="AH6" i="1"/>
  <c r="AJ6" i="1" s="1"/>
  <c r="AH84" i="1"/>
  <c r="AH22" i="1"/>
  <c r="AH159" i="1"/>
  <c r="AH81" i="1"/>
  <c r="AH140" i="1"/>
  <c r="AH237" i="1"/>
  <c r="AH80" i="1"/>
  <c r="AP273" i="1"/>
  <c r="AU273" i="1" s="1"/>
  <c r="AV273" i="1" s="1"/>
  <c r="AP39" i="5"/>
  <c r="AP32" i="5"/>
  <c r="AP46" i="5"/>
  <c r="AO32" i="5"/>
  <c r="AO72" i="6"/>
  <c r="AU72" i="6" s="1"/>
  <c r="AV72" i="6" s="1"/>
  <c r="AH72" i="6" s="1"/>
  <c r="AO10" i="6"/>
  <c r="AO26" i="2"/>
  <c r="AO20" i="1"/>
  <c r="AU20" i="1" s="1"/>
  <c r="AV20" i="1" s="1"/>
  <c r="AO137" i="1"/>
  <c r="AU137" i="1" s="1"/>
  <c r="AV137" i="1" s="1"/>
  <c r="AO238" i="1"/>
  <c r="AU238" i="1" s="1"/>
  <c r="AV238" i="1" s="1"/>
  <c r="AO264" i="1"/>
  <c r="AU264" i="1" s="1"/>
  <c r="AV264" i="1" s="1"/>
  <c r="AO100" i="1"/>
  <c r="AU100" i="1" s="1"/>
  <c r="AV100" i="1" s="1"/>
  <c r="AO162" i="1"/>
  <c r="AU162" i="1" s="1"/>
  <c r="AV162" i="1" s="1"/>
  <c r="AO107" i="1"/>
  <c r="AO202" i="1"/>
  <c r="AU202" i="1" s="1"/>
  <c r="AV202" i="1" s="1"/>
  <c r="AO29" i="1"/>
  <c r="N27" i="5" l="1"/>
  <c r="P27" i="5" s="1"/>
  <c r="Q27" i="5" s="1"/>
  <c r="D27" i="5" s="1"/>
  <c r="N21" i="5"/>
  <c r="P21" i="5" s="1"/>
  <c r="Q21" i="5" s="1"/>
  <c r="D21" i="5" s="1"/>
  <c r="N25" i="5"/>
  <c r="P25" i="5" s="1"/>
  <c r="Q25" i="5" s="1"/>
  <c r="D25" i="5" s="1"/>
  <c r="N16" i="5"/>
  <c r="P16" i="5" s="1"/>
  <c r="Q16" i="5" s="1"/>
  <c r="D16" i="5" s="1"/>
  <c r="N44" i="2"/>
  <c r="P44" i="2" s="1"/>
  <c r="Q44" i="2" s="1"/>
  <c r="D44" i="2" s="1"/>
  <c r="N308" i="6"/>
  <c r="P308" i="6" s="1"/>
  <c r="Q308" i="6" s="1"/>
  <c r="D308" i="6" s="1"/>
  <c r="N123" i="6"/>
  <c r="P123" i="6" s="1"/>
  <c r="Q123" i="6" s="1"/>
  <c r="D123" i="6" s="1"/>
  <c r="N48" i="6"/>
  <c r="P48" i="6" s="1"/>
  <c r="Q48" i="6" s="1"/>
  <c r="D48" i="6" s="1"/>
  <c r="N299" i="6"/>
  <c r="P299" i="6" s="1"/>
  <c r="Q299" i="6" s="1"/>
  <c r="D299" i="6" s="1"/>
  <c r="N139" i="6"/>
  <c r="P139" i="6" s="1"/>
  <c r="Q139" i="6" s="1"/>
  <c r="D139" i="6" s="1"/>
  <c r="N301" i="6"/>
  <c r="P301" i="6" s="1"/>
  <c r="Q301" i="6" s="1"/>
  <c r="D301" i="6" s="1"/>
  <c r="N79" i="6"/>
  <c r="P79" i="6" s="1"/>
  <c r="Q79" i="6" s="1"/>
  <c r="D79" i="6" s="1"/>
  <c r="N241" i="6"/>
  <c r="P241" i="6" s="1"/>
  <c r="Q241" i="6" s="1"/>
  <c r="D241" i="6" s="1"/>
  <c r="N288" i="6"/>
  <c r="P288" i="6" s="1"/>
  <c r="Q288" i="6" s="1"/>
  <c r="D288" i="6" s="1"/>
  <c r="N89" i="6"/>
  <c r="P89" i="6" s="1"/>
  <c r="Q89" i="6" s="1"/>
  <c r="D89" i="6" s="1"/>
  <c r="N263" i="6"/>
  <c r="P263" i="6" s="1"/>
  <c r="Q263" i="6" s="1"/>
  <c r="D263" i="6" s="1"/>
  <c r="N38" i="1"/>
  <c r="P38" i="1" s="1"/>
  <c r="Q38" i="1" s="1"/>
  <c r="D38" i="1" s="1"/>
  <c r="N181" i="1"/>
  <c r="P181" i="1" s="1"/>
  <c r="Q181" i="1" s="1"/>
  <c r="D181" i="1" s="1"/>
  <c r="N191" i="1"/>
  <c r="P191" i="1" s="1"/>
  <c r="Q191" i="1" s="1"/>
  <c r="D191" i="1" s="1"/>
  <c r="N61" i="1"/>
  <c r="P61" i="1" s="1"/>
  <c r="Q61" i="1" s="1"/>
  <c r="D61" i="1" s="1"/>
  <c r="N280" i="1"/>
  <c r="P280" i="1" s="1"/>
  <c r="Q280" i="1" s="1"/>
  <c r="D280" i="1" s="1"/>
  <c r="N160" i="1"/>
  <c r="P160" i="1" s="1"/>
  <c r="Q160" i="1" s="1"/>
  <c r="D160" i="1" s="1"/>
  <c r="AJ248" i="1"/>
  <c r="AK248" i="1" s="1"/>
  <c r="Y248" i="1" s="1"/>
  <c r="AA248" i="1" s="1"/>
  <c r="AB248" i="1" s="1"/>
  <c r="AJ277" i="1"/>
  <c r="AK277" i="1" s="1"/>
  <c r="Y277" i="1" s="1"/>
  <c r="AA277" i="1" s="1"/>
  <c r="AB277" i="1" s="1"/>
  <c r="AJ147" i="1"/>
  <c r="AK147" i="1" s="1"/>
  <c r="Y147" i="1" s="1"/>
  <c r="AA147" i="1" s="1"/>
  <c r="AB147" i="1" s="1"/>
  <c r="AJ120" i="1"/>
  <c r="AK120" i="1" s="1"/>
  <c r="Y120" i="1" s="1"/>
  <c r="AA120" i="1" s="1"/>
  <c r="AB120" i="1" s="1"/>
  <c r="AJ159" i="1"/>
  <c r="AK159" i="1" s="1"/>
  <c r="Y159" i="1" s="1"/>
  <c r="AA159" i="1" s="1"/>
  <c r="AB159" i="1" s="1"/>
  <c r="AJ22" i="1"/>
  <c r="AK22" i="1" s="1"/>
  <c r="Y22" i="1" s="1"/>
  <c r="AA22" i="1" s="1"/>
  <c r="AB22" i="1" s="1"/>
  <c r="AJ84" i="1"/>
  <c r="AK84" i="1" s="1"/>
  <c r="Y84" i="1" s="1"/>
  <c r="AA84" i="1" s="1"/>
  <c r="AB84" i="1" s="1"/>
  <c r="AJ55" i="1"/>
  <c r="AK55" i="1" s="1"/>
  <c r="Y55" i="1" s="1"/>
  <c r="AA55" i="1" s="1"/>
  <c r="AB55" i="1" s="1"/>
  <c r="AJ237" i="1"/>
  <c r="AK237" i="1" s="1"/>
  <c r="Y237" i="1" s="1"/>
  <c r="AA237" i="1" s="1"/>
  <c r="AB237" i="1" s="1"/>
  <c r="AJ140" i="1"/>
  <c r="AK140" i="1" s="1"/>
  <c r="Y140" i="1" s="1"/>
  <c r="AA140" i="1" s="1"/>
  <c r="AB140" i="1" s="1"/>
  <c r="AJ80" i="1"/>
  <c r="AK80" i="1" s="1"/>
  <c r="Y80" i="1" s="1"/>
  <c r="AA80" i="1" s="1"/>
  <c r="AB80" i="1" s="1"/>
  <c r="AJ81" i="1"/>
  <c r="AK81" i="1" s="1"/>
  <c r="Y81" i="1" s="1"/>
  <c r="AA81" i="1" s="1"/>
  <c r="AB81" i="1" s="1"/>
  <c r="AJ35" i="1"/>
  <c r="AK35" i="1" s="1"/>
  <c r="Y35" i="1" s="1"/>
  <c r="AA35" i="1" s="1"/>
  <c r="AB35" i="1" s="1"/>
  <c r="AK16" i="8"/>
  <c r="Y16" i="8" s="1"/>
  <c r="AA16" i="8" s="1"/>
  <c r="AB16" i="8" s="1"/>
  <c r="N16" i="8" s="1"/>
  <c r="P16" i="8" s="1"/>
  <c r="Q16" i="8" s="1"/>
  <c r="D16" i="8" s="1"/>
  <c r="AK27" i="8"/>
  <c r="Y27" i="8" s="1"/>
  <c r="AA27" i="8" s="1"/>
  <c r="AB27" i="8" s="1"/>
  <c r="N27" i="8" s="1"/>
  <c r="P27" i="8" s="1"/>
  <c r="Q27" i="8" s="1"/>
  <c r="D27" i="8" s="1"/>
  <c r="AK15" i="6"/>
  <c r="Y15" i="6" s="1"/>
  <c r="AA15" i="6" s="1"/>
  <c r="AB15" i="6" s="1"/>
  <c r="AJ6" i="6"/>
  <c r="AJ72" i="6"/>
  <c r="AK6" i="5"/>
  <c r="AU46" i="5"/>
  <c r="AV46" i="5" s="1"/>
  <c r="AH46" i="5" s="1"/>
  <c r="AU39" i="5"/>
  <c r="AV39" i="5" s="1"/>
  <c r="AH39" i="5" s="1"/>
  <c r="AU32" i="5"/>
  <c r="AV32" i="5" s="1"/>
  <c r="AH32" i="5" s="1"/>
  <c r="AU26" i="2"/>
  <c r="AV26" i="2" s="1"/>
  <c r="AH26" i="2" s="1"/>
  <c r="AO167" i="1"/>
  <c r="AU167" i="1" s="1"/>
  <c r="AV167" i="1" s="1"/>
  <c r="AO8" i="5"/>
  <c r="AN68" i="6"/>
  <c r="AU68" i="6" s="1"/>
  <c r="AV68" i="6" s="1"/>
  <c r="AH68" i="6" s="1"/>
  <c r="AN289" i="6"/>
  <c r="AU289" i="6" s="1"/>
  <c r="AV289" i="6" s="1"/>
  <c r="AH289" i="6" s="1"/>
  <c r="AN16" i="6"/>
  <c r="AN121" i="6"/>
  <c r="AU121" i="6" s="1"/>
  <c r="AV121" i="6" s="1"/>
  <c r="AH121" i="6" s="1"/>
  <c r="AN203" i="3"/>
  <c r="AN318" i="3"/>
  <c r="AN229" i="1"/>
  <c r="AU229" i="1" s="1"/>
  <c r="AV229" i="1" s="1"/>
  <c r="AS13" i="6"/>
  <c r="AU13" i="6" s="1"/>
  <c r="AV13" i="6" s="1"/>
  <c r="AH13" i="6" s="1"/>
  <c r="AS16" i="6"/>
  <c r="AS228" i="6"/>
  <c r="AU228" i="6" s="1"/>
  <c r="AV228" i="6" s="1"/>
  <c r="AH228" i="6" s="1"/>
  <c r="AN36" i="2"/>
  <c r="AS107" i="1"/>
  <c r="AU107" i="1" s="1"/>
  <c r="AV107" i="1" s="1"/>
  <c r="AS29" i="1"/>
  <c r="AU29" i="1" s="1"/>
  <c r="AV29" i="1" s="1"/>
  <c r="AN21" i="2"/>
  <c r="AS21" i="2"/>
  <c r="N15" i="6" l="1"/>
  <c r="P15" i="6" s="1"/>
  <c r="Q15" i="6" s="1"/>
  <c r="D15" i="6" s="1"/>
  <c r="N147" i="1"/>
  <c r="P147" i="1" s="1"/>
  <c r="Q147" i="1" s="1"/>
  <c r="D147" i="1" s="1"/>
  <c r="N55" i="1"/>
  <c r="P55" i="1" s="1"/>
  <c r="Q55" i="1" s="1"/>
  <c r="D55" i="1" s="1"/>
  <c r="N120" i="1"/>
  <c r="P120" i="1" s="1"/>
  <c r="Q120" i="1" s="1"/>
  <c r="D120" i="1" s="1"/>
  <c r="N81" i="1"/>
  <c r="P81" i="1" s="1"/>
  <c r="Q81" i="1" s="1"/>
  <c r="D81" i="1" s="1"/>
  <c r="N237" i="1"/>
  <c r="P237" i="1" s="1"/>
  <c r="Q237" i="1" s="1"/>
  <c r="D237" i="1" s="1"/>
  <c r="N84" i="1"/>
  <c r="P84" i="1" s="1"/>
  <c r="Q84" i="1" s="1"/>
  <c r="D84" i="1" s="1"/>
  <c r="N277" i="1"/>
  <c r="P277" i="1" s="1"/>
  <c r="Q277" i="1" s="1"/>
  <c r="D277" i="1" s="1"/>
  <c r="N35" i="1"/>
  <c r="P35" i="1" s="1"/>
  <c r="Q35" i="1" s="1"/>
  <c r="D35" i="1" s="1"/>
  <c r="N80" i="1"/>
  <c r="P80" i="1" s="1"/>
  <c r="Q80" i="1" s="1"/>
  <c r="D80" i="1" s="1"/>
  <c r="N22" i="1"/>
  <c r="P22" i="1" s="1"/>
  <c r="Q22" i="1" s="1"/>
  <c r="D22" i="1" s="1"/>
  <c r="N248" i="1"/>
  <c r="P248" i="1" s="1"/>
  <c r="Q248" i="1" s="1"/>
  <c r="D248" i="1" s="1"/>
  <c r="N140" i="1"/>
  <c r="P140" i="1" s="1"/>
  <c r="Q140" i="1" s="1"/>
  <c r="D140" i="1" s="1"/>
  <c r="N159" i="1"/>
  <c r="P159" i="1" s="1"/>
  <c r="Q159" i="1" s="1"/>
  <c r="D159" i="1" s="1"/>
  <c r="Y6" i="5"/>
  <c r="AA6" i="5" s="1"/>
  <c r="AB6" i="5" s="1"/>
  <c r="N6" i="5" s="1"/>
  <c r="P6" i="5" s="1"/>
  <c r="Q6" i="5" s="1"/>
  <c r="D6" i="5" s="1"/>
  <c r="AK6" i="6"/>
  <c r="Y6" i="6" s="1"/>
  <c r="AA6" i="6" s="1"/>
  <c r="AB6" i="6" s="1"/>
  <c r="AK72" i="6"/>
  <c r="Y72" i="6" s="1"/>
  <c r="AA72" i="6" s="1"/>
  <c r="AB72" i="6" s="1"/>
  <c r="AJ13" i="6"/>
  <c r="AJ121" i="6"/>
  <c r="AJ68" i="6"/>
  <c r="AJ228" i="6"/>
  <c r="AJ289" i="6"/>
  <c r="AJ26" i="2"/>
  <c r="AK26" i="2" s="1"/>
  <c r="AJ32" i="5"/>
  <c r="AK32" i="5" s="1"/>
  <c r="Y32" i="5" s="1"/>
  <c r="AA32" i="5" s="1"/>
  <c r="AB32" i="5" s="1"/>
  <c r="AJ39" i="5"/>
  <c r="AK39" i="5" s="1"/>
  <c r="Y39" i="5" s="1"/>
  <c r="AA39" i="5" s="1"/>
  <c r="AB39" i="5" s="1"/>
  <c r="AJ46" i="5"/>
  <c r="AK46" i="5" s="1"/>
  <c r="Y46" i="5" s="1"/>
  <c r="AA46" i="5" s="1"/>
  <c r="AB46" i="5" s="1"/>
  <c r="AU16" i="6"/>
  <c r="AV16" i="6" s="1"/>
  <c r="AH16" i="6" s="1"/>
  <c r="AH238" i="1"/>
  <c r="AH20" i="1"/>
  <c r="AH273" i="1"/>
  <c r="AH162" i="1"/>
  <c r="AH264" i="1"/>
  <c r="AH100" i="1"/>
  <c r="AH137" i="1"/>
  <c r="AH202" i="1"/>
  <c r="AU318" i="3"/>
  <c r="AV318" i="3" s="1"/>
  <c r="AU203" i="3"/>
  <c r="AV203" i="3" s="1"/>
  <c r="AU8" i="5"/>
  <c r="AV8" i="5" s="1"/>
  <c r="AH8" i="5" s="1"/>
  <c r="AM10" i="6"/>
  <c r="AU10" i="6" s="1"/>
  <c r="AV10" i="6" s="1"/>
  <c r="AH10" i="6" s="1"/>
  <c r="AS36" i="2"/>
  <c r="AM36" i="2"/>
  <c r="AM21" i="2"/>
  <c r="N46" i="5" l="1"/>
  <c r="P46" i="5" s="1"/>
  <c r="Q46" i="5" s="1"/>
  <c r="D46" i="5" s="1"/>
  <c r="N39" i="5"/>
  <c r="P39" i="5" s="1"/>
  <c r="Q39" i="5" s="1"/>
  <c r="D39" i="5" s="1"/>
  <c r="N32" i="5"/>
  <c r="P32" i="5" s="1"/>
  <c r="Q32" i="5" s="1"/>
  <c r="D32" i="5" s="1"/>
  <c r="N72" i="6"/>
  <c r="P72" i="6" s="1"/>
  <c r="Q72" i="6" s="1"/>
  <c r="D72" i="6" s="1"/>
  <c r="N6" i="6"/>
  <c r="P6" i="6" s="1"/>
  <c r="Q6" i="6" s="1"/>
  <c r="D6" i="6" s="1"/>
  <c r="Y26" i="2"/>
  <c r="AA26" i="2" s="1"/>
  <c r="AB26" i="2" s="1"/>
  <c r="AJ162" i="1"/>
  <c r="AK162" i="1" s="1"/>
  <c r="Y162" i="1" s="1"/>
  <c r="AA162" i="1" s="1"/>
  <c r="AB162" i="1" s="1"/>
  <c r="AJ202" i="1"/>
  <c r="AK202" i="1" s="1"/>
  <c r="Y202" i="1" s="1"/>
  <c r="AA202" i="1" s="1"/>
  <c r="AB202" i="1" s="1"/>
  <c r="AJ137" i="1"/>
  <c r="AK137" i="1" s="1"/>
  <c r="Y137" i="1" s="1"/>
  <c r="AA137" i="1" s="1"/>
  <c r="AB137" i="1" s="1"/>
  <c r="AJ273" i="1"/>
  <c r="AK273" i="1" s="1"/>
  <c r="Y273" i="1" s="1"/>
  <c r="AA273" i="1" s="1"/>
  <c r="AB273" i="1" s="1"/>
  <c r="AJ20" i="1"/>
  <c r="AK20" i="1" s="1"/>
  <c r="Y20" i="1" s="1"/>
  <c r="AA20" i="1" s="1"/>
  <c r="AB20" i="1" s="1"/>
  <c r="AJ100" i="1"/>
  <c r="AK100" i="1" s="1"/>
  <c r="Y100" i="1" s="1"/>
  <c r="AA100" i="1" s="1"/>
  <c r="AB100" i="1" s="1"/>
  <c r="AJ238" i="1"/>
  <c r="AK238" i="1" s="1"/>
  <c r="Y238" i="1" s="1"/>
  <c r="AA238" i="1" s="1"/>
  <c r="AB238" i="1" s="1"/>
  <c r="AJ264" i="1"/>
  <c r="AK264" i="1" s="1"/>
  <c r="Y264" i="1" s="1"/>
  <c r="AA264" i="1" s="1"/>
  <c r="AB264" i="1" s="1"/>
  <c r="AK289" i="6"/>
  <c r="Y289" i="6" s="1"/>
  <c r="AA289" i="6" s="1"/>
  <c r="AB289" i="6" s="1"/>
  <c r="AK13" i="6"/>
  <c r="Y13" i="6" s="1"/>
  <c r="AA13" i="6" s="1"/>
  <c r="AB13" i="6" s="1"/>
  <c r="AK121" i="6"/>
  <c r="Y121" i="6" s="1"/>
  <c r="AA121" i="6" s="1"/>
  <c r="AB121" i="6" s="1"/>
  <c r="AK228" i="6"/>
  <c r="Y228" i="6" s="1"/>
  <c r="AA228" i="6" s="1"/>
  <c r="AB228" i="6" s="1"/>
  <c r="AK68" i="6"/>
  <c r="Y68" i="6" s="1"/>
  <c r="AA68" i="6" s="1"/>
  <c r="AB68" i="6" s="1"/>
  <c r="AJ16" i="6"/>
  <c r="AJ10" i="6"/>
  <c r="AJ8" i="5"/>
  <c r="AK8" i="5" s="1"/>
  <c r="Y8" i="5" s="1"/>
  <c r="AA8" i="5" s="1"/>
  <c r="AB8" i="5" s="1"/>
  <c r="AH203" i="3"/>
  <c r="AH318" i="3"/>
  <c r="AH167" i="1"/>
  <c r="AH107" i="1"/>
  <c r="AH229" i="1"/>
  <c r="AH29" i="1"/>
  <c r="AU21" i="2"/>
  <c r="AV21" i="2" s="1"/>
  <c r="AH21" i="2" s="1"/>
  <c r="AU36" i="2"/>
  <c r="AV36" i="2" s="1"/>
  <c r="AH36" i="2" s="1"/>
  <c r="N8" i="5" l="1"/>
  <c r="P8" i="5" s="1"/>
  <c r="Q8" i="5" s="1"/>
  <c r="D8" i="5" s="1"/>
  <c r="N26" i="2"/>
  <c r="P26" i="2" s="1"/>
  <c r="Q26" i="2" s="1"/>
  <c r="D26" i="2" s="1"/>
  <c r="N289" i="6"/>
  <c r="P289" i="6" s="1"/>
  <c r="Q289" i="6" s="1"/>
  <c r="D289" i="6" s="1"/>
  <c r="N121" i="6"/>
  <c r="P121" i="6" s="1"/>
  <c r="Q121" i="6" s="1"/>
  <c r="D121" i="6" s="1"/>
  <c r="N68" i="6"/>
  <c r="P68" i="6" s="1"/>
  <c r="Q68" i="6" s="1"/>
  <c r="D68" i="6" s="1"/>
  <c r="N13" i="6"/>
  <c r="P13" i="6" s="1"/>
  <c r="Q13" i="6" s="1"/>
  <c r="D13" i="6" s="1"/>
  <c r="N228" i="6"/>
  <c r="P228" i="6" s="1"/>
  <c r="Q228" i="6" s="1"/>
  <c r="D228" i="6" s="1"/>
  <c r="N238" i="1"/>
  <c r="P238" i="1" s="1"/>
  <c r="Q238" i="1" s="1"/>
  <c r="D238" i="1" s="1"/>
  <c r="N100" i="1"/>
  <c r="P100" i="1" s="1"/>
  <c r="Q100" i="1" s="1"/>
  <c r="D100" i="1" s="1"/>
  <c r="N202" i="1"/>
  <c r="P202" i="1" s="1"/>
  <c r="Q202" i="1" s="1"/>
  <c r="D202" i="1" s="1"/>
  <c r="N273" i="1"/>
  <c r="P273" i="1" s="1"/>
  <c r="Q273" i="1" s="1"/>
  <c r="D273" i="1" s="1"/>
  <c r="N137" i="1"/>
  <c r="P137" i="1" s="1"/>
  <c r="Q137" i="1" s="1"/>
  <c r="D137" i="1" s="1"/>
  <c r="N264" i="1"/>
  <c r="P264" i="1" s="1"/>
  <c r="Q264" i="1" s="1"/>
  <c r="D264" i="1" s="1"/>
  <c r="N20" i="1"/>
  <c r="P20" i="1" s="1"/>
  <c r="Q20" i="1" s="1"/>
  <c r="D20" i="1" s="1"/>
  <c r="N162" i="1"/>
  <c r="P162" i="1" s="1"/>
  <c r="Q162" i="1" s="1"/>
  <c r="D162" i="1" s="1"/>
  <c r="AJ167" i="1"/>
  <c r="AK167" i="1" s="1"/>
  <c r="Y167" i="1" s="1"/>
  <c r="AA167" i="1" s="1"/>
  <c r="AB167" i="1" s="1"/>
  <c r="AJ229" i="1"/>
  <c r="AK229" i="1" s="1"/>
  <c r="Y229" i="1" s="1"/>
  <c r="AA229" i="1" s="1"/>
  <c r="AB229" i="1" s="1"/>
  <c r="AJ107" i="1"/>
  <c r="AK107" i="1" s="1"/>
  <c r="Y107" i="1" s="1"/>
  <c r="AA107" i="1" s="1"/>
  <c r="AB107" i="1" s="1"/>
  <c r="AJ29" i="1"/>
  <c r="AK29" i="1" s="1"/>
  <c r="Y29" i="1" s="1"/>
  <c r="AA29" i="1" s="1"/>
  <c r="AB29" i="1" s="1"/>
  <c r="AJ318" i="3"/>
  <c r="AK318" i="3" s="1"/>
  <c r="AJ203" i="3"/>
  <c r="AK203" i="3" s="1"/>
  <c r="AK10" i="6"/>
  <c r="Y10" i="6" s="1"/>
  <c r="AA10" i="6" s="1"/>
  <c r="AB10" i="6" s="1"/>
  <c r="AK16" i="6"/>
  <c r="Y16" i="6" s="1"/>
  <c r="AA16" i="6" s="1"/>
  <c r="AB16" i="6" s="1"/>
  <c r="AJ21" i="2"/>
  <c r="AK21" i="2" s="1"/>
  <c r="AJ36" i="2"/>
  <c r="AK36" i="2" s="1"/>
  <c r="AU21" i="8"/>
  <c r="AV21" i="8" s="1"/>
  <c r="AH21" i="8" s="1"/>
  <c r="N10" i="6" l="1"/>
  <c r="P10" i="6" s="1"/>
  <c r="Q10" i="6" s="1"/>
  <c r="D10" i="6" s="1"/>
  <c r="N16" i="6"/>
  <c r="P16" i="6" s="1"/>
  <c r="Q16" i="6" s="1"/>
  <c r="D16" i="6" s="1"/>
  <c r="N229" i="1"/>
  <c r="P229" i="1" s="1"/>
  <c r="Q229" i="1" s="1"/>
  <c r="D229" i="1" s="1"/>
  <c r="N29" i="1"/>
  <c r="P29" i="1" s="1"/>
  <c r="Q29" i="1" s="1"/>
  <c r="D29" i="1" s="1"/>
  <c r="N107" i="1"/>
  <c r="P107" i="1" s="1"/>
  <c r="Q107" i="1" s="1"/>
  <c r="D107" i="1" s="1"/>
  <c r="N167" i="1"/>
  <c r="P167" i="1" s="1"/>
  <c r="Q167" i="1" s="1"/>
  <c r="D167" i="1" s="1"/>
  <c r="Y203" i="3"/>
  <c r="AA203" i="3" s="1"/>
  <c r="AB203" i="3" s="1"/>
  <c r="N203" i="3" s="1"/>
  <c r="P203" i="3" s="1"/>
  <c r="Q203" i="3" s="1"/>
  <c r="D203" i="3" s="1"/>
  <c r="Y318" i="3"/>
  <c r="AA318" i="3" s="1"/>
  <c r="AB318" i="3" s="1"/>
  <c r="N318" i="3" s="1"/>
  <c r="P318" i="3" s="1"/>
  <c r="Q318" i="3" s="1"/>
  <c r="D318" i="3" s="1"/>
  <c r="Y36" i="2"/>
  <c r="AA36" i="2" s="1"/>
  <c r="AB36" i="2" s="1"/>
  <c r="Y21" i="2"/>
  <c r="AA21" i="2" s="1"/>
  <c r="AB21" i="2" s="1"/>
  <c r="AJ21" i="8"/>
  <c r="N21" i="2" l="1"/>
  <c r="P21" i="2" s="1"/>
  <c r="Q21" i="2" s="1"/>
  <c r="D21" i="2" s="1"/>
  <c r="N36" i="2"/>
  <c r="P36" i="2" s="1"/>
  <c r="Q36" i="2" s="1"/>
  <c r="D36" i="2" s="1"/>
  <c r="AK21" i="8"/>
  <c r="Y21" i="8" s="1"/>
  <c r="AA21" i="8" s="1"/>
  <c r="AB21" i="8" s="1"/>
  <c r="N21" i="8" s="1"/>
  <c r="P21" i="8" s="1"/>
  <c r="Q21" i="8" s="1"/>
  <c r="D21" i="8" s="1"/>
  <c r="AK68" i="3"/>
  <c r="AK6" i="1"/>
  <c r="Y6" i="1" s="1"/>
  <c r="AA6" i="1" s="1"/>
  <c r="AB6" i="1" l="1"/>
  <c r="N6" i="1" s="1"/>
  <c r="P6" i="1" s="1"/>
  <c r="Y68" i="3"/>
  <c r="AA68" i="3" s="1"/>
  <c r="AB68" i="3" s="1"/>
  <c r="N68" i="3" s="1"/>
  <c r="P68" i="3" s="1"/>
  <c r="Q68" i="3" s="1"/>
  <c r="D68" i="3" s="1"/>
  <c r="Q6" i="1" l="1"/>
  <c r="D6" i="1" s="1"/>
  <c r="AB100" i="6"/>
  <c r="N100" i="6" l="1"/>
  <c r="P100" i="6" s="1"/>
  <c r="Q100" i="6" s="1"/>
  <c r="D100" i="6" s="1"/>
</calcChain>
</file>

<file path=xl/sharedStrings.xml><?xml version="1.0" encoding="utf-8"?>
<sst xmlns="http://schemas.openxmlformats.org/spreadsheetml/2006/main" count="3049" uniqueCount="1443">
  <si>
    <t>Born 2 Dance</t>
  </si>
  <si>
    <t>Uzvārds, Vārds</t>
  </si>
  <si>
    <t>Deju studija</t>
  </si>
  <si>
    <t>Dz. gads</t>
  </si>
  <si>
    <t>Ziema</t>
  </si>
  <si>
    <t>Nedalāmie punkti</t>
  </si>
  <si>
    <t>Night&amp;Day</t>
  </si>
  <si>
    <t>Kaprīze</t>
  </si>
  <si>
    <t>Backstage</t>
  </si>
  <si>
    <t>Legzdiņa Dana</t>
  </si>
  <si>
    <t>Children female</t>
  </si>
  <si>
    <t>Juniors Female</t>
  </si>
  <si>
    <t>Adults Female</t>
  </si>
  <si>
    <t>1. līga</t>
  </si>
  <si>
    <t>2. līga</t>
  </si>
  <si>
    <t>Iesācēji</t>
  </si>
  <si>
    <t>Ļevdanskis Nikita</t>
  </si>
  <si>
    <t>Pluce Paula</t>
  </si>
  <si>
    <t>Skodorova Valērija</t>
  </si>
  <si>
    <t>Dzelzīte Marta</t>
  </si>
  <si>
    <t>Zabarovska Linda</t>
  </si>
  <si>
    <t>Skuja Anna Katrīna</t>
  </si>
  <si>
    <t>Grohovska Kristīne</t>
  </si>
  <si>
    <t>Deju studija DEMO</t>
  </si>
  <si>
    <t>Kraukle Evelīna</t>
  </si>
  <si>
    <t>Gutreia Aleksandra</t>
  </si>
  <si>
    <t>Īstenā Jasmīne</t>
  </si>
  <si>
    <t>Barānovs Aleksandrs</t>
  </si>
  <si>
    <t>Geidāns Dominiks</t>
  </si>
  <si>
    <t>Fjodorovs Dāniels</t>
  </si>
  <si>
    <t>Stankus Veronika</t>
  </si>
  <si>
    <t xml:space="preserve">    Adults Male</t>
  </si>
  <si>
    <t>Kuļiša Adelīna</t>
  </si>
  <si>
    <t>Tropa Patricija</t>
  </si>
  <si>
    <t>Punkti uz 2022 g. sākumu</t>
  </si>
  <si>
    <t>Mini Kids</t>
  </si>
  <si>
    <t>Night&amp;Day Studio</t>
  </si>
  <si>
    <t>2.līga</t>
  </si>
  <si>
    <t>Jeļisejeva Keita</t>
  </si>
  <si>
    <t>Veinberga Ulrika</t>
  </si>
  <si>
    <t>LBJC Tabernacle Dance Studio</t>
  </si>
  <si>
    <t>BACKSTAGE ART CENTER</t>
  </si>
  <si>
    <t xml:space="preserve">Laipnieca Andžela </t>
  </si>
  <si>
    <t xml:space="preserve">Aleksandrova Emīlija </t>
  </si>
  <si>
    <t xml:space="preserve">Grohovska Miroslava </t>
  </si>
  <si>
    <t xml:space="preserve">Čerpinska Nikola </t>
  </si>
  <si>
    <t xml:space="preserve">Ničaja Sondra </t>
  </si>
  <si>
    <t>Grohovska Zlata</t>
  </si>
  <si>
    <t>Lazdiņa Emīlija</t>
  </si>
  <si>
    <t>Rava Leila Marta</t>
  </si>
  <si>
    <t>Savicka Kerija Anete</t>
  </si>
  <si>
    <t>Pūkaine Loreta</t>
  </si>
  <si>
    <t>Demo</t>
  </si>
  <si>
    <t>Survillo Justīne</t>
  </si>
  <si>
    <t>Žieda Evelīna</t>
  </si>
  <si>
    <t>Rutkovska Vanesa</t>
  </si>
  <si>
    <t xml:space="preserve">Skudra Sabīne </t>
  </si>
  <si>
    <t xml:space="preserve">Tereščenko Aļesja </t>
  </si>
  <si>
    <t xml:space="preserve">Jansone Sāra </t>
  </si>
  <si>
    <t>Pudāns Mikus</t>
  </si>
  <si>
    <t>Juniors Male</t>
  </si>
  <si>
    <t>Children Male</t>
  </si>
  <si>
    <t>Daugavpils Open</t>
  </si>
  <si>
    <t>BACKSTAGE Art Center</t>
  </si>
  <si>
    <t>STOPTIME</t>
  </si>
  <si>
    <t>Usačova Adriana</t>
  </si>
  <si>
    <t xml:space="preserve">Mīļa Ariana </t>
  </si>
  <si>
    <t xml:space="preserve">Urbanoviča Darja </t>
  </si>
  <si>
    <t xml:space="preserve">Baikova Elizavete </t>
  </si>
  <si>
    <t xml:space="preserve">Naruševiča Evelīna </t>
  </si>
  <si>
    <t xml:space="preserve">Jakubāne Ieva </t>
  </si>
  <si>
    <t xml:space="preserve">Sabule Keita </t>
  </si>
  <si>
    <t xml:space="preserve">Vasiļjeva Ksenija </t>
  </si>
  <si>
    <t xml:space="preserve">Spiridonovs Leons </t>
  </si>
  <si>
    <t xml:space="preserve">Kļava Marta Adriāna </t>
  </si>
  <si>
    <t xml:space="preserve">Servute Mija </t>
  </si>
  <si>
    <t xml:space="preserve">Karbutoviča Nellija </t>
  </si>
  <si>
    <t xml:space="preserve">Sporihins Nikas </t>
  </si>
  <si>
    <t xml:space="preserve">Rozenbilde Odrija </t>
  </si>
  <si>
    <t xml:space="preserve">Portnaja Oksana </t>
  </si>
  <si>
    <t xml:space="preserve">Rudzīte Rebeka </t>
  </si>
  <si>
    <t xml:space="preserve">Zelčs Roberts </t>
  </si>
  <si>
    <t xml:space="preserve">Tauriņš Rodrigo </t>
  </si>
  <si>
    <t>Grīnfelde Samanta</t>
  </si>
  <si>
    <t xml:space="preserve">Freiberga Zane </t>
  </si>
  <si>
    <t>STOPTIME Rēzekne</t>
  </si>
  <si>
    <t>Veizāna deju skola</t>
  </si>
  <si>
    <t>Dance Beat</t>
  </si>
  <si>
    <t xml:space="preserve">Tihonoviča Maija </t>
  </si>
  <si>
    <t xml:space="preserve">Rumjanceva Alisa </t>
  </si>
  <si>
    <t xml:space="preserve">Novikova Ariana </t>
  </si>
  <si>
    <t>Jasinska Adrianna</t>
  </si>
  <si>
    <t xml:space="preserve">Pokšāne Daniela </t>
  </si>
  <si>
    <t xml:space="preserve">Melberga Žaklīna </t>
  </si>
  <si>
    <t xml:space="preserve">Stole Sofija </t>
  </si>
  <si>
    <t>Mitkeviča Annija</t>
  </si>
  <si>
    <t xml:space="preserve">Zariņa Elīza </t>
  </si>
  <si>
    <t xml:space="preserve">Murāne Gabriela </t>
  </si>
  <si>
    <t xml:space="preserve">Mennika Madara </t>
  </si>
  <si>
    <t xml:space="preserve">Vjakse Santa Marija </t>
  </si>
  <si>
    <t xml:space="preserve">Pušmūcans Emils </t>
  </si>
  <si>
    <t xml:space="preserve">Lakomko Daniela </t>
  </si>
  <si>
    <t xml:space="preserve">Anufrieva Agata </t>
  </si>
  <si>
    <t xml:space="preserve">Užule Loreta </t>
  </si>
  <si>
    <t xml:space="preserve">Šatrovs Artjoms </t>
  </si>
  <si>
    <t xml:space="preserve">Lukša Emils </t>
  </si>
  <si>
    <t xml:space="preserve">Davidovskis Oskars </t>
  </si>
  <si>
    <t xml:space="preserve">Gailišs Edgars </t>
  </si>
  <si>
    <t xml:space="preserve">Stirniņš Justs </t>
  </si>
  <si>
    <t xml:space="preserve">Uksliņš Rodrigo </t>
  </si>
  <si>
    <t xml:space="preserve">Rutko Rūdolfs </t>
  </si>
  <si>
    <t>Studio Let's dance</t>
  </si>
  <si>
    <t xml:space="preserve">Vatčenko Jeļizaveta </t>
  </si>
  <si>
    <t xml:space="preserve">Griķe Marta Marija </t>
  </si>
  <si>
    <t xml:space="preserve">Akopova Katrīna </t>
  </si>
  <si>
    <t xml:space="preserve">Zīmele Madara </t>
  </si>
  <si>
    <t xml:space="preserve">Korpenko Valerija </t>
  </si>
  <si>
    <t xml:space="preserve">Bērziņa Lote Laura </t>
  </si>
  <si>
    <t xml:space="preserve">Raka Patricija </t>
  </si>
  <si>
    <t xml:space="preserve">Ozoliņa Šarlote </t>
  </si>
  <si>
    <t xml:space="preserve">Kalniņa Klaudija </t>
  </si>
  <si>
    <t xml:space="preserve">Burenkova Viktorija </t>
  </si>
  <si>
    <t xml:space="preserve">Belindževa Kristena </t>
  </si>
  <si>
    <t xml:space="preserve">Kolomijeca Ilona </t>
  </si>
  <si>
    <t>Cvetkova Darja</t>
  </si>
  <si>
    <t xml:space="preserve">Siliniece Madara Dārta </t>
  </si>
  <si>
    <t xml:space="preserve">Frīdriha Vikrotija </t>
  </si>
  <si>
    <t xml:space="preserve">Dobrovoļska Anna- Marija </t>
  </si>
  <si>
    <t>Berga Paula</t>
  </si>
  <si>
    <t xml:space="preserve">Semjonova Marjana </t>
  </si>
  <si>
    <t xml:space="preserve">Verņicka Sofija </t>
  </si>
  <si>
    <t xml:space="preserve">Baļeva Viktorija </t>
  </si>
  <si>
    <t xml:space="preserve">Čornaja Anna </t>
  </si>
  <si>
    <t xml:space="preserve">Logina Estere </t>
  </si>
  <si>
    <t xml:space="preserve">Utkina Evelīna </t>
  </si>
  <si>
    <t xml:space="preserve">Cirmane Ieva </t>
  </si>
  <si>
    <t xml:space="preserve">Stahovskis Ilja </t>
  </si>
  <si>
    <t xml:space="preserve">Trofimova Jekaterina </t>
  </si>
  <si>
    <t xml:space="preserve">Lukša Nikola </t>
  </si>
  <si>
    <t xml:space="preserve">Tjuļeneva Alise </t>
  </si>
  <si>
    <t xml:space="preserve">Rosovska Amālija </t>
  </si>
  <si>
    <t xml:space="preserve">Lindenova Milana </t>
  </si>
  <si>
    <t xml:space="preserve">Jakuševska Mišele </t>
  </si>
  <si>
    <t xml:space="preserve">Križanovska Selīna </t>
  </si>
  <si>
    <t xml:space="preserve">Kolosova Sofija </t>
  </si>
  <si>
    <t xml:space="preserve">Ilgina Arīna </t>
  </si>
  <si>
    <t>Zemzare Nikola</t>
  </si>
  <si>
    <t xml:space="preserve">Auziņa Amanda </t>
  </si>
  <si>
    <t xml:space="preserve">Misiņa Anna </t>
  </si>
  <si>
    <t xml:space="preserve">Umbraško Anna </t>
  </si>
  <si>
    <t xml:space="preserve">Podjava Bernadetta </t>
  </si>
  <si>
    <t xml:space="preserve">Vasjanova Darina </t>
  </si>
  <si>
    <t xml:space="preserve">Meirāne Diāna </t>
  </si>
  <si>
    <t>Mikena Elīza Daniela</t>
  </si>
  <si>
    <t xml:space="preserve">Vasiļjeva Everita </t>
  </si>
  <si>
    <t xml:space="preserve">Rēiha Greta </t>
  </si>
  <si>
    <t xml:space="preserve">Putniņa Ieva </t>
  </si>
  <si>
    <t xml:space="preserve">Mihailova Jana </t>
  </si>
  <si>
    <t xml:space="preserve">Kozlovska Jaroslava </t>
  </si>
  <si>
    <t xml:space="preserve">Kuzņecova Karolina </t>
  </si>
  <si>
    <t xml:space="preserve">Kočubeja Kristiāna </t>
  </si>
  <si>
    <t>Vilmane Laura</t>
  </si>
  <si>
    <t xml:space="preserve">Montvide Liāna </t>
  </si>
  <si>
    <t xml:space="preserve">Marčenko Marija </t>
  </si>
  <si>
    <t xml:space="preserve">Govjadina Poļina </t>
  </si>
  <si>
    <t xml:space="preserve">Mihailova Sofija </t>
  </si>
  <si>
    <t>Tarasova Veronika</t>
  </si>
  <si>
    <t xml:space="preserve">Tereņina Veronika </t>
  </si>
  <si>
    <t xml:space="preserve">Kozlenkova Yevheniia </t>
  </si>
  <si>
    <t xml:space="preserve">Borisjuka Valērija </t>
  </si>
  <si>
    <t xml:space="preserve">Paluhina Sofija </t>
  </si>
  <si>
    <t xml:space="preserve">Laminska Diāna </t>
  </si>
  <si>
    <t xml:space="preserve">Popkova Arianna </t>
  </si>
  <si>
    <t>Bordāne Nellija</t>
  </si>
  <si>
    <t xml:space="preserve">Ozola Sigita </t>
  </si>
  <si>
    <t xml:space="preserve">Melne Sintija </t>
  </si>
  <si>
    <t xml:space="preserve">Kaupere Dita Kate </t>
  </si>
  <si>
    <t xml:space="preserve">Grīnberga Rūta </t>
  </si>
  <si>
    <t>Tukāne Sabīna</t>
  </si>
  <si>
    <t xml:space="preserve">Soboleva Viktorija </t>
  </si>
  <si>
    <t xml:space="preserve">Sproģe Terēze </t>
  </si>
  <si>
    <t xml:space="preserve">Gutoroviča Valērija </t>
  </si>
  <si>
    <t xml:space="preserve">Jasiūna Zane </t>
  </si>
  <si>
    <t xml:space="preserve">Drauga Tīna </t>
  </si>
  <si>
    <t>Vinokurova Anželika</t>
  </si>
  <si>
    <t xml:space="preserve">Nitiša Jana </t>
  </si>
  <si>
    <t xml:space="preserve">Veinberga Loreta </t>
  </si>
  <si>
    <t xml:space="preserve">Čerņcova Milana </t>
  </si>
  <si>
    <t xml:space="preserve">Daukšte Bekija Anete </t>
  </si>
  <si>
    <t xml:space="preserve">Stauro Agnese </t>
  </si>
  <si>
    <t>Kalniņa Alise</t>
  </si>
  <si>
    <t xml:space="preserve">Kostrodimova Kamila </t>
  </si>
  <si>
    <t xml:space="preserve">Muižniece Katrīna </t>
  </si>
  <si>
    <t xml:space="preserve">Pavarda Brenda </t>
  </si>
  <si>
    <t xml:space="preserve">Cimiņa Anna </t>
  </si>
  <si>
    <t xml:space="preserve">Ābele Elīza </t>
  </si>
  <si>
    <t xml:space="preserve">Gulbe Kitija </t>
  </si>
  <si>
    <t xml:space="preserve">Vikmane Lote </t>
  </si>
  <si>
    <t xml:space="preserve">Žilinska Luīze </t>
  </si>
  <si>
    <t xml:space="preserve">Moreva Valērija </t>
  </si>
  <si>
    <t xml:space="preserve">Klišāne Marija </t>
  </si>
  <si>
    <t xml:space="preserve">Federeks Leo </t>
  </si>
  <si>
    <t xml:space="preserve">Ozoliņš Olivers </t>
  </si>
  <si>
    <t xml:space="preserve">Miķelāns Tomass </t>
  </si>
  <si>
    <t xml:space="preserve">Mitrevics Valters </t>
  </si>
  <si>
    <t>Kavaļeristovs Krišjānis</t>
  </si>
  <si>
    <t xml:space="preserve">Vecvērdiņš Deivs </t>
  </si>
  <si>
    <t xml:space="preserve">Jukšs Daniils </t>
  </si>
  <si>
    <t xml:space="preserve">Rakute Jekaterina </t>
  </si>
  <si>
    <t xml:space="preserve">Dubrovska Anna </t>
  </si>
  <si>
    <t xml:space="preserve">Dance Ketija Katerina </t>
  </si>
  <si>
    <t xml:space="preserve">Šulca Elīza </t>
  </si>
  <si>
    <t xml:space="preserve">Kiku Valērija </t>
  </si>
  <si>
    <t xml:space="preserve">Bērziņa Madara </t>
  </si>
  <si>
    <t xml:space="preserve">Veinberga Sintija </t>
  </si>
  <si>
    <t xml:space="preserve">Hēla Keita </t>
  </si>
  <si>
    <t xml:space="preserve">Semjonova Veronika </t>
  </si>
  <si>
    <t xml:space="preserve">Vickopa Elīna </t>
  </si>
  <si>
    <t xml:space="preserve">Braumane Linda </t>
  </si>
  <si>
    <t xml:space="preserve">Sitko Nikola </t>
  </si>
  <si>
    <t xml:space="preserve">Gruzdiņa Rēzija </t>
  </si>
  <si>
    <t xml:space="preserve">Matvejeva Violeta </t>
  </si>
  <si>
    <t xml:space="preserve">Jēkabsons  Jeremijs </t>
  </si>
  <si>
    <t xml:space="preserve">Lapinsks Feliks </t>
  </si>
  <si>
    <t>Zvirgzdiņa Melisa</t>
  </si>
  <si>
    <t>Brizga Enija</t>
  </si>
  <si>
    <t>Soldatenoka Milāna</t>
  </si>
  <si>
    <t>Pavasaris</t>
  </si>
  <si>
    <t xml:space="preserve">Baranovska Viktorija </t>
  </si>
  <si>
    <t>Briede Amēlija</t>
  </si>
  <si>
    <t>Xeny Dance Studio</t>
  </si>
  <si>
    <t>Baza Dance Company</t>
  </si>
  <si>
    <t xml:space="preserve">Girgina Ganriela </t>
  </si>
  <si>
    <t>Striško Valērija</t>
  </si>
  <si>
    <t xml:space="preserve">Martyniuk Emiliia </t>
  </si>
  <si>
    <t>Burča Poļina</t>
  </si>
  <si>
    <t xml:space="preserve">Viļčevska Vlada </t>
  </si>
  <si>
    <t>Bredihina Alisa</t>
  </si>
  <si>
    <t xml:space="preserve">Pižova Alisa </t>
  </si>
  <si>
    <t xml:space="preserve">Kobka Emilija </t>
  </si>
  <si>
    <t>Ūzuliņa Luisa Marija</t>
  </si>
  <si>
    <t>DI-DANCERS</t>
  </si>
  <si>
    <t>Stepanova Ieva</t>
  </si>
  <si>
    <t>Razgale Ketrīna</t>
  </si>
  <si>
    <t xml:space="preserve">Marčuka-Žurkova Patrīcija </t>
  </si>
  <si>
    <t xml:space="preserve">Rennova Аlisa </t>
  </si>
  <si>
    <t>Petrova Erika</t>
  </si>
  <si>
    <t xml:space="preserve">Vancere Ešlija </t>
  </si>
  <si>
    <t xml:space="preserve">Glazkova Valerija </t>
  </si>
  <si>
    <t xml:space="preserve">Mitrofanova Ksenija </t>
  </si>
  <si>
    <t xml:space="preserve">Gontarjova Anastasija </t>
  </si>
  <si>
    <t xml:space="preserve">Tuzova Ksenija </t>
  </si>
  <si>
    <t xml:space="preserve">Capova Valerija </t>
  </si>
  <si>
    <t xml:space="preserve">Kārkliņa Maija </t>
  </si>
  <si>
    <t xml:space="preserve">Sjuldina Valerija </t>
  </si>
  <si>
    <t xml:space="preserve">Kuzmina Valerija </t>
  </si>
  <si>
    <t>Dmitrijeva Anna</t>
  </si>
  <si>
    <t>Rone Loreta</t>
  </si>
  <si>
    <t>Sokolova Dinara</t>
  </si>
  <si>
    <t>Kostina Eleonora</t>
  </si>
  <si>
    <t>Ziemele Paula</t>
  </si>
  <si>
    <t>Parfinoviča Mia Marija</t>
  </si>
  <si>
    <t>Meļņikova Alise</t>
  </si>
  <si>
    <t>Bleidere Anna</t>
  </si>
  <si>
    <t>Petrišins Kirills</t>
  </si>
  <si>
    <t>Grinčuks Kirills</t>
  </si>
  <si>
    <t xml:space="preserve">Ļašenko Georgs </t>
  </si>
  <si>
    <t>Auzenbergs Elgars</t>
  </si>
  <si>
    <t>Viakse Deniss</t>
  </si>
  <si>
    <t>Bumbieris Maksims</t>
  </si>
  <si>
    <t>Dzalbe Kamila</t>
  </si>
  <si>
    <t xml:space="preserve">Karačunskaja Alisa </t>
  </si>
  <si>
    <t>Dance of Street</t>
  </si>
  <si>
    <t>Bērziņa Elīza</t>
  </si>
  <si>
    <t>Bizonova Ieva</t>
  </si>
  <si>
    <t>Erkmane Elizabete</t>
  </si>
  <si>
    <t xml:space="preserve">Blazevica Amina </t>
  </si>
  <si>
    <t xml:space="preserve">Vasiļjeva Anastasija </t>
  </si>
  <si>
    <t>Lisina Zlata</t>
  </si>
  <si>
    <t xml:space="preserve">Berzina Yasna </t>
  </si>
  <si>
    <t xml:space="preserve">Marčuka-Žurkova Beatrise </t>
  </si>
  <si>
    <t xml:space="preserve">Miteniece Мilana </t>
  </si>
  <si>
    <t>Gorbunova Milana</t>
  </si>
  <si>
    <t>Mitkeviča Ksenija</t>
  </si>
  <si>
    <t>Homma Sofija</t>
  </si>
  <si>
    <t>Gurova Taisija</t>
  </si>
  <si>
    <t>Zujeva Viktorija</t>
  </si>
  <si>
    <t>Apine Alina</t>
  </si>
  <si>
    <t xml:space="preserve">Čekmarjova Katrīna </t>
  </si>
  <si>
    <t>Peļņika Poļina</t>
  </si>
  <si>
    <t>Ivenkova Maija</t>
  </si>
  <si>
    <t>Latvian Open</t>
  </si>
  <si>
    <t>Siliņa Elīna</t>
  </si>
  <si>
    <t>Dmitrijeva Miroslava</t>
  </si>
  <si>
    <t>Kmeta Milana</t>
  </si>
  <si>
    <t>Antonova Mia</t>
  </si>
  <si>
    <t>Let's Dance</t>
  </si>
  <si>
    <t xml:space="preserve">Semjonovs Aleksejs </t>
  </si>
  <si>
    <t xml:space="preserve">Sidorenkovs Ļevs </t>
  </si>
  <si>
    <t>XDS</t>
  </si>
  <si>
    <t>Sosnova Arina</t>
  </si>
  <si>
    <t>Zaiceva Darja</t>
  </si>
  <si>
    <t>Lasmane Adriana</t>
  </si>
  <si>
    <t>Ozola Sofija</t>
  </si>
  <si>
    <t>Kārkliņa Justīne</t>
  </si>
  <si>
    <t>Miļuna Eliāna</t>
  </si>
  <si>
    <t>Prudivus Līna</t>
  </si>
  <si>
    <t>Lemkina Elizabete</t>
  </si>
  <si>
    <t>Petkuna Elīna</t>
  </si>
  <si>
    <t>Dzalbe Olīvija</t>
  </si>
  <si>
    <t>Vizbule Valērija</t>
  </si>
  <si>
    <t>Dubova Darja</t>
  </si>
  <si>
    <t>Vaščilko Sofija</t>
  </si>
  <si>
    <t>Jumaeva Nika</t>
  </si>
  <si>
    <t>Vagale Nikola</t>
  </si>
  <si>
    <t>Rešmidilova Arina</t>
  </si>
  <si>
    <t>Damcenko Melissa</t>
  </si>
  <si>
    <t>Andrejeva Beatrise</t>
  </si>
  <si>
    <t>Zagumjonnova Ksenija</t>
  </si>
  <si>
    <t>Golojad Timur</t>
  </si>
  <si>
    <t>Misjuka Margarita</t>
  </si>
  <si>
    <t>Jarniha Valērija</t>
  </si>
  <si>
    <t>Auguste Anete Una</t>
  </si>
  <si>
    <t>Tērnere Luīze Eleina</t>
  </si>
  <si>
    <t>Gorbunova Vlada</t>
  </si>
  <si>
    <t>Fišere Darina</t>
  </si>
  <si>
    <t>Kalinkeviča Monta</t>
  </si>
  <si>
    <t>Buļipopa Anna</t>
  </si>
  <si>
    <t>Tautiete Luīze</t>
  </si>
  <si>
    <t>Konstantinova Nellija</t>
  </si>
  <si>
    <t>Konstantinova Anna</t>
  </si>
  <si>
    <t>Ļipuncova Beatrise</t>
  </si>
  <si>
    <t>Poļakova Poļina</t>
  </si>
  <si>
    <t>Burashnikova Jekaterina</t>
  </si>
  <si>
    <t>Protizāne Mikeila</t>
  </si>
  <si>
    <t>Džeriņa Katrīna</t>
  </si>
  <si>
    <t>Stakinova Annija</t>
  </si>
  <si>
    <t>Bogdanova Gabija Elizabete</t>
  </si>
  <si>
    <t>Buzmakova Aurēlija</t>
  </si>
  <si>
    <t>Smirnova Olīvija</t>
  </si>
  <si>
    <t>Borodins Aleksandrs</t>
  </si>
  <si>
    <t>Kaufmanis Gustavs</t>
  </si>
  <si>
    <t>Feceris Tomass</t>
  </si>
  <si>
    <t>Zimnohs Klāvs Zigmunds</t>
  </si>
  <si>
    <t>Moora Līga</t>
  </si>
  <si>
    <t>Grigorjeva Anfisa</t>
  </si>
  <si>
    <t>Tihomirova Valērija</t>
  </si>
  <si>
    <t>Višņakova Madara</t>
  </si>
  <si>
    <t>Rosmane Keita</t>
  </si>
  <si>
    <t>Eltermane Adriana</t>
  </si>
  <si>
    <t>Brākša Kristiāna</t>
  </si>
  <si>
    <t>Ozoliņa Elizabete</t>
  </si>
  <si>
    <t>Kazenko Elizabete</t>
  </si>
  <si>
    <t>Meškova Kerija</t>
  </si>
  <si>
    <t>Vavilova Darina</t>
  </si>
  <si>
    <t>Ļvova Marija</t>
  </si>
  <si>
    <t>Poļivkina Marija</t>
  </si>
  <si>
    <t>Dūša Skārleta</t>
  </si>
  <si>
    <t>Abakumova Valērija</t>
  </si>
  <si>
    <t>Bobova Lana</t>
  </si>
  <si>
    <t>Frolova Daniela</t>
  </si>
  <si>
    <t>Stafecka Samanta</t>
  </si>
  <si>
    <t>Geraščenko Alīna</t>
  </si>
  <si>
    <t>Bergmane Patrīcija</t>
  </si>
  <si>
    <t>Kirika Patrīcija Nikola</t>
  </si>
  <si>
    <t>Lāce Keita</t>
  </si>
  <si>
    <t>Podobeda Anna</t>
  </si>
  <si>
    <t>Podobeda Sofija</t>
  </si>
  <si>
    <t>Burashnikov Maksim</t>
  </si>
  <si>
    <t>Ufarkin Leo</t>
  </si>
  <si>
    <t>Gorbunovs Natans</t>
  </si>
  <si>
    <t>Jakovenko Mihails</t>
  </si>
  <si>
    <t>Backstage Art Center</t>
  </si>
  <si>
    <t>Znotiņa Marta</t>
  </si>
  <si>
    <t>Nikolajeva Ksenija</t>
  </si>
  <si>
    <t>Abdrašitova Jana</t>
  </si>
  <si>
    <t>Iekļava Baiba</t>
  </si>
  <si>
    <t>Pereligina Anna</t>
  </si>
  <si>
    <t>Todes</t>
  </si>
  <si>
    <t>Gorbuzova Arina</t>
  </si>
  <si>
    <t>Vorobjova Liana</t>
  </si>
  <si>
    <t>Marčenko Milana</t>
  </si>
  <si>
    <t>Parfinoviča Agata</t>
  </si>
  <si>
    <t>Satina Elizaveta</t>
  </si>
  <si>
    <t>Mēriņa Melisa</t>
  </si>
  <si>
    <t>Dinula Darja</t>
  </si>
  <si>
    <t>Voitenkova Anastasija</t>
  </si>
  <si>
    <t>Saveļjeva Sofija</t>
  </si>
  <si>
    <t>Proshin Timur</t>
  </si>
  <si>
    <t>Yakovele Iya</t>
  </si>
  <si>
    <t>Dancessimus</t>
  </si>
  <si>
    <t>Zariņa Enija</t>
  </si>
  <si>
    <t>Polukejeva Angelina</t>
  </si>
  <si>
    <t>Zīle Kristiāna</t>
  </si>
  <si>
    <t>Kovaļevska Marta</t>
  </si>
  <si>
    <t>Loskutova Anna</t>
  </si>
  <si>
    <t>Eydina Gerda</t>
  </si>
  <si>
    <t>Usane Sofija</t>
  </si>
  <si>
    <t>Zeltiņa Sofija Anna</t>
  </si>
  <si>
    <t>Andrejenkova Anastasija</t>
  </si>
  <si>
    <t>Manuilova Arina</t>
  </si>
  <si>
    <t>Bobrova Arina</t>
  </si>
  <si>
    <t>Motoro Liāna</t>
  </si>
  <si>
    <t>Lekse Alise</t>
  </si>
  <si>
    <t>Kaprīze Ozolnieki</t>
  </si>
  <si>
    <t>Reinvalde Anabella</t>
  </si>
  <si>
    <t>Laizāne Monta</t>
  </si>
  <si>
    <t>Zemītis Raimonds</t>
  </si>
  <si>
    <t>Meiere Estere</t>
  </si>
  <si>
    <t>Liu Melisaiu</t>
  </si>
  <si>
    <t>Kostjuneviča Nikola</t>
  </si>
  <si>
    <t>Lavrenova Uljana</t>
  </si>
  <si>
    <t>Ždanoviča Milana</t>
  </si>
  <si>
    <t>Ķeniņa Inessa</t>
  </si>
  <si>
    <t>Tihomirova Ksenija</t>
  </si>
  <si>
    <t>Velika Maija</t>
  </si>
  <si>
    <t>Dumceva Milēna</t>
  </si>
  <si>
    <t>Grīnfelde Patrīcija</t>
  </si>
  <si>
    <t>Melnkalne Karmena</t>
  </si>
  <si>
    <t>Bogdanova Paula</t>
  </si>
  <si>
    <t>Kaļčenko Emīlija Aleksandra</t>
  </si>
  <si>
    <t>Upeniece Merija</t>
  </si>
  <si>
    <t>Tihonova Sofija</t>
  </si>
  <si>
    <t>Deņisko Poļina</t>
  </si>
  <si>
    <t>Bulle Šarlote</t>
  </si>
  <si>
    <t>Bartkeviča Adelīna</t>
  </si>
  <si>
    <t>Jaunskunga Sofija</t>
  </si>
  <si>
    <t>Bajāre Leila</t>
  </si>
  <si>
    <t>Dunce Stella</t>
  </si>
  <si>
    <t>Turka Heidija</t>
  </si>
  <si>
    <t>Zakrepska Viktorija</t>
  </si>
  <si>
    <t>Valberga Maija</t>
  </si>
  <si>
    <t>Lekse Odrija</t>
  </si>
  <si>
    <t>Bičkova Anastasija</t>
  </si>
  <si>
    <t>Sorokina Viktorija</t>
  </si>
  <si>
    <t>Kovaļenko Sofija</t>
  </si>
  <si>
    <t>Klementjeva Sofija</t>
  </si>
  <si>
    <t>Vasitčenkova Luīze Patrīcija</t>
  </si>
  <si>
    <t>Plotnikova Alisa</t>
  </si>
  <si>
    <t>Kalniņa Evija</t>
  </si>
  <si>
    <t>Vedze Samanta</t>
  </si>
  <si>
    <t>Buketova Aleksandra</t>
  </si>
  <si>
    <t>Gaskova Mila</t>
  </si>
  <si>
    <t>Goriņa Martins</t>
  </si>
  <si>
    <t>Verniece Paula</t>
  </si>
  <si>
    <t>Briede Elza</t>
  </si>
  <si>
    <t>Reinvalde Lilianna</t>
  </si>
  <si>
    <t>Liepiņa Luella</t>
  </si>
  <si>
    <t>Dance Kadrija</t>
  </si>
  <si>
    <t>Abolniece Millija</t>
  </si>
  <si>
    <t>Jurane Eleonora</t>
  </si>
  <si>
    <t>Dinsberga Katrīna</t>
  </si>
  <si>
    <t>Dudaļeva Juliana</t>
  </si>
  <si>
    <t>Landzmane Elizabete</t>
  </si>
  <si>
    <t>Endriksone Marta</t>
  </si>
  <si>
    <t>Endriksone Elizabete</t>
  </si>
  <si>
    <t>Landzmane Sofija</t>
  </si>
  <si>
    <t>Jukšinska Elizabete Viktorija</t>
  </si>
  <si>
    <t>Ņikitina Eva Linda</t>
  </si>
  <si>
    <t>Avdeviča Nataļja</t>
  </si>
  <si>
    <t>Baltic Dance Cup</t>
  </si>
  <si>
    <t>Frolova Emīlija</t>
  </si>
  <si>
    <t>Skopāne Alise</t>
  </si>
  <si>
    <t>Meļehina Sofija</t>
  </si>
  <si>
    <t>Zelcmane Anna-Marija</t>
  </si>
  <si>
    <t>Mikena Rebeka</t>
  </si>
  <si>
    <t>Vinnikova Ksenija</t>
  </si>
  <si>
    <t>Paļčevska Sofija</t>
  </si>
  <si>
    <t>Voiseta Samanta</t>
  </si>
  <si>
    <t>Kaktobule Marija</t>
  </si>
  <si>
    <t>Vizbule Terēze</t>
  </si>
  <si>
    <t>Zute Samanta</t>
  </si>
  <si>
    <t>Bursevica Sofija</t>
  </si>
  <si>
    <t>Anufrijeva Sanija Laura</t>
  </si>
  <si>
    <t>Moldengauere Estere</t>
  </si>
  <si>
    <t>Jeniņa Anastasija</t>
  </si>
  <si>
    <t>Blaze</t>
  </si>
  <si>
    <t>Buravcova Anna</t>
  </si>
  <si>
    <t>Elizabete-Viktorija</t>
  </si>
  <si>
    <t>Matjuhova Emili</t>
  </si>
  <si>
    <t>Orlova Emilia</t>
  </si>
  <si>
    <t>Baala Ņikoļeta</t>
  </si>
  <si>
    <t>Liukonina Monika</t>
  </si>
  <si>
    <t>Ruban Varvara</t>
  </si>
  <si>
    <t>Morīte Melānija Dārta</t>
  </si>
  <si>
    <t>Lukina Polina</t>
  </si>
  <si>
    <t>Gutāne Melānija</t>
  </si>
  <si>
    <t>Kurloviča Aleksandra</t>
  </si>
  <si>
    <t>Liepāja</t>
  </si>
  <si>
    <t>Budriķīte Delija</t>
  </si>
  <si>
    <t>Juhno Enija</t>
  </si>
  <si>
    <t>Andrejevs Samuēls</t>
  </si>
  <si>
    <t>Kozhina Polina</t>
  </si>
  <si>
    <t>Ancīte Kerija</t>
  </si>
  <si>
    <t>Kezika Emīlija</t>
  </si>
  <si>
    <t>Shapurova Taisija</t>
  </si>
  <si>
    <t>Osmanova Malika</t>
  </si>
  <si>
    <t>Vavilova Melānija Romija</t>
  </si>
  <si>
    <t>Gumbele Gerda</t>
  </si>
  <si>
    <t>Sutugina Aleksa</t>
  </si>
  <si>
    <t>Stepko Sofija</t>
  </si>
  <si>
    <t>Hansena Tince</t>
  </si>
  <si>
    <t>Isajeva Violeta</t>
  </si>
  <si>
    <t>Leimane Keita Gabriela</t>
  </si>
  <si>
    <t>Borcova Anastasija</t>
  </si>
  <si>
    <t>Koževatkina Jeļizaveta</t>
  </si>
  <si>
    <t>Vidovska Nikola</t>
  </si>
  <si>
    <t>Davidova Dana</t>
  </si>
  <si>
    <t>Pedkoviča Elīna</t>
  </si>
  <si>
    <t>Tutova Poļina</t>
  </si>
  <si>
    <t>Slastjunova Vanesa</t>
  </si>
  <si>
    <t>Gailīte Dārta</t>
  </si>
  <si>
    <t>Balga Emīlija</t>
  </si>
  <si>
    <t>Konireva Amanda</t>
  </si>
  <si>
    <t>Bidiņa Alise</t>
  </si>
  <si>
    <t>Ambaine Leina</t>
  </si>
  <si>
    <t>Andrejeva Sofija</t>
  </si>
  <si>
    <t>Rotkāja Kerija Ieviņa</t>
  </si>
  <si>
    <t>Aprupe Kristīne</t>
  </si>
  <si>
    <t>Space Dance Studio</t>
  </si>
  <si>
    <t>Vladjuščenkova Alise</t>
  </si>
  <si>
    <t>Taradeiko Lilija</t>
  </si>
  <si>
    <t>Barkovska Tatjana</t>
  </si>
  <si>
    <t>Sjomina Polina</t>
  </si>
  <si>
    <t>Kupča Alise Maija</t>
  </si>
  <si>
    <t>Grīnvalde Madara</t>
  </si>
  <si>
    <t>Ancelāns Henrijs</t>
  </si>
  <si>
    <t>Kazanceva Anastasija</t>
  </si>
  <si>
    <t>Petjukeviča Alīna</t>
  </si>
  <si>
    <t>DPKN</t>
  </si>
  <si>
    <t>Biļinska Evelīna</t>
  </si>
  <si>
    <t>Tīsena Sanita</t>
  </si>
  <si>
    <t>Homka Linda</t>
  </si>
  <si>
    <t>Urbeviča Keita</t>
  </si>
  <si>
    <t>Ketnere Madara</t>
  </si>
  <si>
    <t>Mihailova Omēlija</t>
  </si>
  <si>
    <t>Briede Krista Elizabete</t>
  </si>
  <si>
    <t>Rubese Daniela</t>
  </si>
  <si>
    <t>Puriņa Helga</t>
  </si>
  <si>
    <t>Sakne Samanta</t>
  </si>
  <si>
    <t>Kopā uz 2022.g.</t>
  </si>
  <si>
    <t>Uz nākamo gadu</t>
  </si>
  <si>
    <t>1.līga</t>
  </si>
  <si>
    <t>Par iepriekšējo periodu</t>
  </si>
  <si>
    <t>Terentjeva Amēlija</t>
  </si>
  <si>
    <t>Kortenko Aleksandrs</t>
  </si>
  <si>
    <t>Boža Amēlija</t>
  </si>
  <si>
    <t>Rīgas Iļģuciema pamatskola</t>
  </si>
  <si>
    <t>Golubeva Darja</t>
  </si>
  <si>
    <t>Terehova Aleksandra</t>
  </si>
  <si>
    <t>Zaharova Ksenija</t>
  </si>
  <si>
    <t>Adamoviča Jekaterina</t>
  </si>
  <si>
    <t>Trane Milana</t>
  </si>
  <si>
    <t>Ozola Paula</t>
  </si>
  <si>
    <t>Kodoliņa Estere</t>
  </si>
  <si>
    <t>Gordienko Alisa</t>
  </si>
  <si>
    <t>Sokolova Anastasija</t>
  </si>
  <si>
    <t>Tauriņa Emili</t>
  </si>
  <si>
    <t>Leišavniece Emīlija</t>
  </si>
  <si>
    <t>Lastovska Emma</t>
  </si>
  <si>
    <t>Kukīte Mia</t>
  </si>
  <si>
    <t>Seidova Milana</t>
  </si>
  <si>
    <t>Ozoliņa Zane</t>
  </si>
  <si>
    <t>Deju skola "Dzirnas"</t>
  </si>
  <si>
    <t>Ivanova Marija</t>
  </si>
  <si>
    <t>Paukšēna Grēta</t>
  </si>
  <si>
    <t>Runča Nikole</t>
  </si>
  <si>
    <t>Orlova Alisa</t>
  </si>
  <si>
    <t>Kozlovska Ieva</t>
  </si>
  <si>
    <t>Astašonoka Amelija</t>
  </si>
  <si>
    <t>Verbickis Dainis</t>
  </si>
  <si>
    <t>Rižeščenoka Kellija Gabriela</t>
  </si>
  <si>
    <t>Griscuka Alisa</t>
  </si>
  <si>
    <t>Gorkina Alisa</t>
  </si>
  <si>
    <t>Ragimova Sofija</t>
  </si>
  <si>
    <t>Novikova Larija</t>
  </si>
  <si>
    <t>Arefjeva Arianna</t>
  </si>
  <si>
    <t>Vanaga Melanija</t>
  </si>
  <si>
    <t>Mališs Artemijs</t>
  </si>
  <si>
    <t>Stafecka Justīne Liene</t>
  </si>
  <si>
    <t>Radziņa Beatrise</t>
  </si>
  <si>
    <t>Fattahova Ketrina Karolīna</t>
  </si>
  <si>
    <t>Komare Alise</t>
  </si>
  <si>
    <t>TwinHcrew</t>
  </si>
  <si>
    <t>Osīte Elīza</t>
  </si>
  <si>
    <t>Mariabella Veržbicka</t>
  </si>
  <si>
    <t>Pavlova Nellija</t>
  </si>
  <si>
    <t>Gulbe Nikola</t>
  </si>
  <si>
    <t>Orehova Melita</t>
  </si>
  <si>
    <t>Driķīte Elīna</t>
  </si>
  <si>
    <t>Mihelsone Katrīna Mišela</t>
  </si>
  <si>
    <t>Oļeņika Aleksandra</t>
  </si>
  <si>
    <t>Lūkina Sanija</t>
  </si>
  <si>
    <t>Brakovska Britnija</t>
  </si>
  <si>
    <t>Lejniece Melānija Loreta</t>
  </si>
  <si>
    <t>Jagodkina Demija Tīna</t>
  </si>
  <si>
    <t>Bergmane Vladislava</t>
  </si>
  <si>
    <t>Konošonoks Kims</t>
  </si>
  <si>
    <t>GMD studio</t>
  </si>
  <si>
    <t>Jefremova Evelīna</t>
  </si>
  <si>
    <t>Bite Odrija</t>
  </si>
  <si>
    <t>Niciparovičs Markuss</t>
  </si>
  <si>
    <t>Nikitina Marija</t>
  </si>
  <si>
    <t>Koļenčenko Poļina</t>
  </si>
  <si>
    <t>Ribakova Karina</t>
  </si>
  <si>
    <t>Zvonovska Diāna</t>
  </si>
  <si>
    <t>Babre Sandra</t>
  </si>
  <si>
    <t>Armaloviča Jana</t>
  </si>
  <si>
    <t>Grandovska Enija</t>
  </si>
  <si>
    <t>Krivoručko Darja</t>
  </si>
  <si>
    <t>Mihnoviča Lana</t>
  </si>
  <si>
    <t>Pinka Amēlija</t>
  </si>
  <si>
    <t>Savinova Alisa</t>
  </si>
  <si>
    <t>Odegova Jelizaveta</t>
  </si>
  <si>
    <t>Ribakova Sofija</t>
  </si>
  <si>
    <t>Trambarina Milana</t>
  </si>
  <si>
    <t>Skulte Emīlija</t>
  </si>
  <si>
    <t>Āboliņa Mišela</t>
  </si>
  <si>
    <t>Klimone Nikola</t>
  </si>
  <si>
    <t>Sivina Helēna</t>
  </si>
  <si>
    <t>Indrijaite Hetere</t>
  </si>
  <si>
    <t>Rudzītis Kārlis</t>
  </si>
  <si>
    <t>Podniece Viktorija</t>
  </si>
  <si>
    <t>Cīrule Anete</t>
  </si>
  <si>
    <t>Petravska Emilija</t>
  </si>
  <si>
    <t>Lapsiņa Emīlija Elizabete</t>
  </si>
  <si>
    <t>Draule Šarlote</t>
  </si>
  <si>
    <t>Babris Adrians</t>
  </si>
  <si>
    <t>Bondare Jana</t>
  </si>
  <si>
    <t>Stoptime Rēzekne</t>
  </si>
  <si>
    <t>Šubina Darja</t>
  </si>
  <si>
    <t>Dukure Viktorija</t>
  </si>
  <si>
    <t>Bistrova Agnese</t>
  </si>
  <si>
    <t>Bistere Līva</t>
  </si>
  <si>
    <t>Dance Studio Space</t>
  </si>
  <si>
    <t>Fiļajevs Dmitrijs</t>
  </si>
  <si>
    <t>Sandors Reinis</t>
  </si>
  <si>
    <t>Trizna Timurs</t>
  </si>
  <si>
    <t>Armaloviča Sofija</t>
  </si>
  <si>
    <t>Krivuneca Alīna</t>
  </si>
  <si>
    <t>Poļakova Valērija</t>
  </si>
  <si>
    <t>Reihmane Aleksandra</t>
  </si>
  <si>
    <t>Davidenko Olīvija</t>
  </si>
  <si>
    <t>Vatčenko Jekaterina</t>
  </si>
  <si>
    <t>Isahanova Margarita</t>
  </si>
  <si>
    <t>Šveicare Luīze Anna</t>
  </si>
  <si>
    <t>Bondarčuka Ksenija</t>
  </si>
  <si>
    <t>Petrova Diāna</t>
  </si>
  <si>
    <t>Andrejeva Angelīna</t>
  </si>
  <si>
    <t>Freimane Kristīne</t>
  </si>
  <si>
    <t>Aleksandrova Anastasija</t>
  </si>
  <si>
    <t>Artmane Eva</t>
  </si>
  <si>
    <t>Sviksa Elīna</t>
  </si>
  <si>
    <t>Bogdanova Arina</t>
  </si>
  <si>
    <t>Cimure Keita</t>
  </si>
  <si>
    <t>Prokopoviča Žanete</t>
  </si>
  <si>
    <t>Zimerte Linda</t>
  </si>
  <si>
    <t>Freidenfelde Līga</t>
  </si>
  <si>
    <t>Dance studio SPACE</t>
  </si>
  <si>
    <t>Vidina Viktorija</t>
  </si>
  <si>
    <t>Erina Mišela</t>
  </si>
  <si>
    <t>Gavrikova Ieva</t>
  </si>
  <si>
    <t>Jakobsone Eliza Ulla</t>
  </si>
  <si>
    <t>Danilova Anastasija</t>
  </si>
  <si>
    <t>Balčūne Elīza</t>
  </si>
  <si>
    <t>Gaigala - Petkeviča Loreta</t>
  </si>
  <si>
    <t>Egle Paula</t>
  </si>
  <si>
    <t>Buivida Ksenija</t>
  </si>
  <si>
    <t>Ozerova Milana</t>
  </si>
  <si>
    <t>Rusina Linda</t>
  </si>
  <si>
    <t>`</t>
  </si>
  <si>
    <t>Berdečnikova Alina</t>
  </si>
  <si>
    <t>Mamedova Ajla</t>
  </si>
  <si>
    <t>Lepa Līva</t>
  </si>
  <si>
    <t>Ziediņa Elza</t>
  </si>
  <si>
    <t>Teibe Estere</t>
  </si>
  <si>
    <t>Griņeviča Liāna</t>
  </si>
  <si>
    <t>Zeltiņa Patrīcija</t>
  </si>
  <si>
    <t>Kurčanova Jana</t>
  </si>
  <si>
    <t>Puķjānis Dāvids</t>
  </si>
  <si>
    <t>Bučinskis Matvejs</t>
  </si>
  <si>
    <t>Zeidmanis Rūdolfs</t>
  </si>
  <si>
    <t>Dudkeviča Agnese</t>
  </si>
  <si>
    <t>Ņikona Alise</t>
  </si>
  <si>
    <t>Lune Karolina</t>
  </si>
  <si>
    <t>Zavadska Karolina</t>
  </si>
  <si>
    <t>Židkova Alina</t>
  </si>
  <si>
    <t>Bormane Karolīna</t>
  </si>
  <si>
    <t>Ķere Alise</t>
  </si>
  <si>
    <t>Korbmahere Beāte</t>
  </si>
  <si>
    <t>Silerova Beta</t>
  </si>
  <si>
    <t>Kocere Sāra Bella</t>
  </si>
  <si>
    <t>Spalve Alise</t>
  </si>
  <si>
    <t>Kartashova Alona</t>
  </si>
  <si>
    <t>Jansma Nora</t>
  </si>
  <si>
    <t>Ragimova Marija</t>
  </si>
  <si>
    <t>Fjodorova Jana</t>
  </si>
  <si>
    <t>STOPTIME Dance Studio</t>
  </si>
  <si>
    <t>Sviridova Anna</t>
  </si>
  <si>
    <t>Krinberga Evelīna</t>
  </si>
  <si>
    <t>Serova Alisa</t>
  </si>
  <si>
    <t>Deju skola KPD</t>
  </si>
  <si>
    <t>Čuvizova Ļika</t>
  </si>
  <si>
    <t>Ivanenko Andželika</t>
  </si>
  <si>
    <t>Āboma Alise</t>
  </si>
  <si>
    <t>Deju studija DPKN</t>
  </si>
  <si>
    <t>Jaroševiča Leonarda</t>
  </si>
  <si>
    <t>Bestikova Arīna</t>
  </si>
  <si>
    <t>Baumane Ebigeila Enija</t>
  </si>
  <si>
    <t>Zariņa Annija</t>
  </si>
  <si>
    <t>Birova Māra</t>
  </si>
  <si>
    <t>Auziņš Endijs</t>
  </si>
  <si>
    <t>Dementjevs Pāvels</t>
  </si>
  <si>
    <t>Sprudzane Sofija</t>
  </si>
  <si>
    <t>Cimermane Tīna</t>
  </si>
  <si>
    <t>Eihenbauma Anna</t>
  </si>
  <si>
    <t>Loca Marta</t>
  </si>
  <si>
    <t>Bulaņenko Vitalīna</t>
  </si>
  <si>
    <t>Afanasjeva Emīlija</t>
  </si>
  <si>
    <t>Fedotova Poļina</t>
  </si>
  <si>
    <t>Mistjukeviča Diāna</t>
  </si>
  <si>
    <t>Drozdova Elizaveta</t>
  </si>
  <si>
    <t>Šeluhina Elīna</t>
  </si>
  <si>
    <t>Bogana Darja</t>
  </si>
  <si>
    <t>Liepiņa Enija</t>
  </si>
  <si>
    <t>Solomina Ksenija</t>
  </si>
  <si>
    <t>Drele Luīze</t>
  </si>
  <si>
    <t>Lazučonoka Nikola</t>
  </si>
  <si>
    <t>Sutena Patrīcija</t>
  </si>
  <si>
    <t>Oļehnoviča Ērika</t>
  </si>
  <si>
    <t>Podniece Kerolaina</t>
  </si>
  <si>
    <t>Gabrāne Kristiāna</t>
  </si>
  <si>
    <t>Samule Kristiāna</t>
  </si>
  <si>
    <t>Ņesterova Sofija</t>
  </si>
  <si>
    <t>Herasiuta Varvara</t>
  </si>
  <si>
    <t>Lehicka Mišela</t>
  </si>
  <si>
    <t>Svarinska Viktorija</t>
  </si>
  <si>
    <t>Novikova Liliāna</t>
  </si>
  <si>
    <t>Kulbanova Anastasija</t>
  </si>
  <si>
    <t>Meldere Melisa</t>
  </si>
  <si>
    <t>Derjuseva Dominika</t>
  </si>
  <si>
    <t>Kravale Eva</t>
  </si>
  <si>
    <t>Katinska Samanta</t>
  </si>
  <si>
    <t>Skuja Evelīna</t>
  </si>
  <si>
    <t>Rubene Amēlija</t>
  </si>
  <si>
    <t>Kirilova Enija Marta</t>
  </si>
  <si>
    <t>Parigina Sofija</t>
  </si>
  <si>
    <t>Vihrova Viktorija</t>
  </si>
  <si>
    <t>Matone Vladlena</t>
  </si>
  <si>
    <t>Navumovich Yeva</t>
  </si>
  <si>
    <t>Bogačovs Kirills</t>
  </si>
  <si>
    <t>Košmans Timurs</t>
  </si>
  <si>
    <t>Dimereca Viktorija</t>
  </si>
  <si>
    <t>Gromoļeva Daniela</t>
  </si>
  <si>
    <t>Kopā uz 2023.g.</t>
  </si>
  <si>
    <t>Fedosejeva Taisija</t>
  </si>
  <si>
    <t>Petruseviča Paula</t>
  </si>
  <si>
    <t>Kulikova Alīse</t>
  </si>
  <si>
    <t>Ogibalova Jana</t>
  </si>
  <si>
    <t>Dubovika Ksenija</t>
  </si>
  <si>
    <t>Krasilenko Liliana</t>
  </si>
  <si>
    <t>Sulima Marija</t>
  </si>
  <si>
    <t>Kļaviņa Megija</t>
  </si>
  <si>
    <t>Kuznecova Nikol</t>
  </si>
  <si>
    <t>Gasparaite Reičela</t>
  </si>
  <si>
    <t>Masaļska Vita</t>
  </si>
  <si>
    <t>Ivanova Viktorija</t>
  </si>
  <si>
    <t>Paļule Paula</t>
  </si>
  <si>
    <t>Barsukaite Aleksandra</t>
  </si>
  <si>
    <t>Viļuma Liāna</t>
  </si>
  <si>
    <t>Čibulis Eduards</t>
  </si>
  <si>
    <t>Dargužis Dominiks</t>
  </si>
  <si>
    <t>Ūvens Oskars</t>
  </si>
  <si>
    <t>Malahovska Mila</t>
  </si>
  <si>
    <t>Vasiļjeva Adriana</t>
  </si>
  <si>
    <t>Paškeviča Jasmīna Antuanete</t>
  </si>
  <si>
    <t>Augstkalne Ģerda</t>
  </si>
  <si>
    <t>Zujeva Anastasija</t>
  </si>
  <si>
    <t>Grigorenko Darja</t>
  </si>
  <si>
    <t>Šknarova Viktorija</t>
  </si>
  <si>
    <t>Cakule Evija</t>
  </si>
  <si>
    <t>Kolosova Jelizaveta</t>
  </si>
  <si>
    <t>Sergejeva Paula</t>
  </si>
  <si>
    <t>Ščemeleva Darija</t>
  </si>
  <si>
    <t>Fridmane Gabriella</t>
  </si>
  <si>
    <t>Askerova Sofija</t>
  </si>
  <si>
    <t>Siliņa Laura</t>
  </si>
  <si>
    <t>Fjodorova Arina</t>
  </si>
  <si>
    <t>Bančule Elīza</t>
  </si>
  <si>
    <t>Zinovjeva Veronika</t>
  </si>
  <si>
    <t>Radionova Milana</t>
  </si>
  <si>
    <t>Vasiļjeva Anastasija</t>
  </si>
  <si>
    <t>Zute Dagnija</t>
  </si>
  <si>
    <t>Zeltiņa Agnesi</t>
  </si>
  <si>
    <t>Stoptime</t>
  </si>
  <si>
    <t>Sarkane Emīlija</t>
  </si>
  <si>
    <t>Bodroviene Dominika</t>
  </si>
  <si>
    <t>Vītoliņa Elma</t>
  </si>
  <si>
    <t>Virka Patrīcija</t>
  </si>
  <si>
    <t>Roga Elīza</t>
  </si>
  <si>
    <t>Sārmiņa Marta Sibilla</t>
  </si>
  <si>
    <t>Merkulova Marta</t>
  </si>
  <si>
    <t>Ābola Paula</t>
  </si>
  <si>
    <t>Prokofjeva Elza</t>
  </si>
  <si>
    <t>Grūbe Gerda</t>
  </si>
  <si>
    <t>Misāne Evelīna</t>
  </si>
  <si>
    <t>Deglava Justīne</t>
  </si>
  <si>
    <t>Nāzare Līva</t>
  </si>
  <si>
    <t>Saturiņa Katrīne</t>
  </si>
  <si>
    <t>Ozoliņa Keitija</t>
  </si>
  <si>
    <t>Janēviča Klinta</t>
  </si>
  <si>
    <t>Birkāne Loreta</t>
  </si>
  <si>
    <t>Cibe Elīze</t>
  </si>
  <si>
    <t>Yablonskih Eva</t>
  </si>
  <si>
    <t>Eglīte Marta</t>
  </si>
  <si>
    <t>Millere Anna</t>
  </si>
  <si>
    <t>Tropa Beāte</t>
  </si>
  <si>
    <t>Ratkeviča Dārta</t>
  </si>
  <si>
    <t>Puriņa Gabriela</t>
  </si>
  <si>
    <t>Bokāne Anna</t>
  </si>
  <si>
    <t>Saturiņa Adele</t>
  </si>
  <si>
    <t>Lūkina Bella</t>
  </si>
  <si>
    <t>Cele Arina</t>
  </si>
  <si>
    <t>Simanovska Dana</t>
  </si>
  <si>
    <t>Jakubina Milana</t>
  </si>
  <si>
    <t>Rodceviča Daniella</t>
  </si>
  <si>
    <t>Dargužis Daniels</t>
  </si>
  <si>
    <t>Šamajeva Karina</t>
  </si>
  <si>
    <t>Cvekova Evelīna</t>
  </si>
  <si>
    <t>Lopatko Arina</t>
  </si>
  <si>
    <t>Rozenberga Elza Leila</t>
  </si>
  <si>
    <t>Ovsepjana Karolina</t>
  </si>
  <si>
    <t>Rozenberga Anastasija</t>
  </si>
  <si>
    <t>Makejeva Anna</t>
  </si>
  <si>
    <t>Stoptime Dance Studio</t>
  </si>
  <si>
    <t>Magada Arina</t>
  </si>
  <si>
    <t>Masaļska Diāna</t>
  </si>
  <si>
    <t>Bucule Jesenija</t>
  </si>
  <si>
    <t>Spička Ksenija</t>
  </si>
  <si>
    <t>Vējkrigere Patrīcija Anna</t>
  </si>
  <si>
    <t>Kirejeva Sofija</t>
  </si>
  <si>
    <t>Poļivkins Artjoms</t>
  </si>
  <si>
    <t>Kuzminska Agate</t>
  </si>
  <si>
    <t>Rapša Laura</t>
  </si>
  <si>
    <t>Sinkoveca Aleksa</t>
  </si>
  <si>
    <t>Antoneviča Anastasija</t>
  </si>
  <si>
    <t>Stepanova Elizaveta</t>
  </si>
  <si>
    <t>Ametere Evelīna</t>
  </si>
  <si>
    <t>Kovalenko Marta</t>
  </si>
  <si>
    <t>Ciganova Nikola</t>
  </si>
  <si>
    <t xml:space="preserve">Kačjušite Valerija </t>
  </si>
  <si>
    <t>Sknarova Viktorija</t>
  </si>
  <si>
    <t>Petrovska Karolīna</t>
  </si>
  <si>
    <t>Baranova Laura</t>
  </si>
  <si>
    <t>Aizazare Ļera</t>
  </si>
  <si>
    <t>Cerkaļina Anastasija</t>
  </si>
  <si>
    <t>Lučuk Marija</t>
  </si>
  <si>
    <t>Liperts Māris</t>
  </si>
  <si>
    <t>Avišāne Signija</t>
  </si>
  <si>
    <t>Baranika Anastasija</t>
  </si>
  <si>
    <t>Ganule Jekaterina</t>
  </si>
  <si>
    <t>Ūdrasola Viktorija</t>
  </si>
  <si>
    <t>Grinčuka Sofija</t>
  </si>
  <si>
    <t>Ogņeva Varvara</t>
  </si>
  <si>
    <t>Kaikova Maija</t>
  </si>
  <si>
    <t>Gauka Anastasija</t>
  </si>
  <si>
    <t>Vintere Linda</t>
  </si>
  <si>
    <t>Jangoļe Poļina</t>
  </si>
  <si>
    <t>Kemele Emīlija</t>
  </si>
  <si>
    <t>Jukoviča Aleksandra</t>
  </si>
  <si>
    <t>Grand Prix Jelgava</t>
  </si>
  <si>
    <t>Kuropatkina Amēlija</t>
  </si>
  <si>
    <t>Ostele Nora</t>
  </si>
  <si>
    <t>Mezraupa Maija</t>
  </si>
  <si>
    <t>Belere Elisona</t>
  </si>
  <si>
    <t>Kindereviča Melissa</t>
  </si>
  <si>
    <t>2.līga / open</t>
  </si>
  <si>
    <t>Bogana Milena</t>
  </si>
  <si>
    <t>Novikova Polina</t>
  </si>
  <si>
    <t>Gromova Beāte</t>
  </si>
  <si>
    <t>Veide Elīza</t>
  </si>
  <si>
    <t>Šulca Līga Viktorija</t>
  </si>
  <si>
    <t>Feldmane Adelīna</t>
  </si>
  <si>
    <t>Penclina Alisa</t>
  </si>
  <si>
    <t>Šafika Elisa</t>
  </si>
  <si>
    <t>Grava Eva</t>
  </si>
  <si>
    <t>Fiļimonova Līva</t>
  </si>
  <si>
    <t>Roze Marianna</t>
  </si>
  <si>
    <t>Žukova Elvīra</t>
  </si>
  <si>
    <t>Šamajeva Marina</t>
  </si>
  <si>
    <t>Cikule Laura</t>
  </si>
  <si>
    <t>Keiskalu Lorensa</t>
  </si>
  <si>
    <t>Pīrāga Madara</t>
  </si>
  <si>
    <t>Braunfelde Marta</t>
  </si>
  <si>
    <t>Legostajeva Milena</t>
  </si>
  <si>
    <t>Šimule Jana</t>
  </si>
  <si>
    <t>Žukova Veronika</t>
  </si>
  <si>
    <t>Zvanovska Diāna</t>
  </si>
  <si>
    <t>Ivanovs Ņikita</t>
  </si>
  <si>
    <t>Čuikovs Mihaels</t>
  </si>
  <si>
    <t>Dermane Evelīna</t>
  </si>
  <si>
    <t>Sproģe Evelīna</t>
  </si>
  <si>
    <t>Petrova Evelīna</t>
  </si>
  <si>
    <t>Urbāne Sannija</t>
  </si>
  <si>
    <t>Urbanoviča Angelina</t>
  </si>
  <si>
    <t>Miscenkova Arina</t>
  </si>
  <si>
    <t>Dementjeva Jūlija</t>
  </si>
  <si>
    <t>Paršonoka Ksenija</t>
  </si>
  <si>
    <t>Verigo Ksenija</t>
  </si>
  <si>
    <t>Burlakova Margarita</t>
  </si>
  <si>
    <t>Seide Sabita</t>
  </si>
  <si>
    <t>Plāce Undīne</t>
  </si>
  <si>
    <t>Jaroša Izabella</t>
  </si>
  <si>
    <t>Airijance Alīna</t>
  </si>
  <si>
    <t>Zmitrovich Maryana</t>
  </si>
  <si>
    <t>Haračibane Emili</t>
  </si>
  <si>
    <t>Beinaroviča Jūlija</t>
  </si>
  <si>
    <t>Ponomarenko Darja</t>
  </si>
  <si>
    <t>Rīga</t>
  </si>
  <si>
    <t>Darkys dance school</t>
  </si>
  <si>
    <t>Blohina Darja</t>
  </si>
  <si>
    <t>Štifurska Kristina</t>
  </si>
  <si>
    <t>Nikodimova Veronika</t>
  </si>
  <si>
    <t xml:space="preserve">Sorokins Aleksandrs </t>
  </si>
  <si>
    <t xml:space="preserve">Rītiņš Māris </t>
  </si>
  <si>
    <t>Janaite-Makarenkova Aleksandra</t>
  </si>
  <si>
    <t>Melnic Mihails</t>
  </si>
  <si>
    <t>Smirnova Alisa</t>
  </si>
  <si>
    <t>Gulbe Olīvija</t>
  </si>
  <si>
    <t>Hila Anna</t>
  </si>
  <si>
    <t>Poļakova Emīlija</t>
  </si>
  <si>
    <t>Kuļičkova Darja</t>
  </si>
  <si>
    <t>Kārkliņa Millija</t>
  </si>
  <si>
    <t>Zute Marija</t>
  </si>
  <si>
    <t>Maksimovs Airo</t>
  </si>
  <si>
    <t>Grasis Mārcis</t>
  </si>
  <si>
    <t>Mārtiņa Monika</t>
  </si>
  <si>
    <t>Brūvere Bridžita</t>
  </si>
  <si>
    <t>Deju skola "Demo"</t>
  </si>
  <si>
    <t>Zemīts Mairis</t>
  </si>
  <si>
    <t>Zāģeris Edgars</t>
  </si>
  <si>
    <t>Guste Jekaterina</t>
  </si>
  <si>
    <t>Līga</t>
  </si>
  <si>
    <t>Gaide Lote</t>
  </si>
  <si>
    <t>Fjodorova Eļvira</t>
  </si>
  <si>
    <t>Mihalovska Veronika</t>
  </si>
  <si>
    <t>Ieva Izabella</t>
  </si>
  <si>
    <t>Kudinova Melānija</t>
  </si>
  <si>
    <t>Golomboši Paula</t>
  </si>
  <si>
    <t>Urbanoviča Sofija</t>
  </si>
  <si>
    <t>Bautra Alise</t>
  </si>
  <si>
    <t>Gultniece Alise</t>
  </si>
  <si>
    <t>Čirkina Elise</t>
  </si>
  <si>
    <t>Mertena Emīlija</t>
  </si>
  <si>
    <t>Butkeviča Endžela Emīlija</t>
  </si>
  <si>
    <t>Ivčenko Evelīna</t>
  </si>
  <si>
    <t>Slivrina Melānija</t>
  </si>
  <si>
    <t>Baikovska Jeļizaveta</t>
  </si>
  <si>
    <t>Rutkovska Alise</t>
  </si>
  <si>
    <t>Rudzīte Elīza</t>
  </si>
  <si>
    <t>Geka Aleksa</t>
  </si>
  <si>
    <t>Gutreia Odrija</t>
  </si>
  <si>
    <t>Avdejeva Darja</t>
  </si>
  <si>
    <t>Haselbauma-Aselbauma Melisa</t>
  </si>
  <si>
    <t>Žīgurs Edvards</t>
  </si>
  <si>
    <t>Tukmanis Patriks</t>
  </si>
  <si>
    <t>Švēders Maikls</t>
  </si>
  <si>
    <t>Ļiļikina Īrissa</t>
  </si>
  <si>
    <t>Usača Luīza</t>
  </si>
  <si>
    <t>Lotko Angelina</t>
  </si>
  <si>
    <t>Boltņeva Enija</t>
  </si>
  <si>
    <t>Anaņiča Elza</t>
  </si>
  <si>
    <t>Māske Amanda</t>
  </si>
  <si>
    <t>Prihodko Polina</t>
  </si>
  <si>
    <t>Kambare Elīna</t>
  </si>
  <si>
    <t>Incinberga Agnese</t>
  </si>
  <si>
    <t>Safina Kira</t>
  </si>
  <si>
    <t>Ničipora Melanija</t>
  </si>
  <si>
    <t>Ilguma Nikola</t>
  </si>
  <si>
    <t>Ņefa Estere</t>
  </si>
  <si>
    <t>Sadlinska Diāna</t>
  </si>
  <si>
    <t>Skredele Rendija</t>
  </si>
  <si>
    <t>Gross Artēmijs</t>
  </si>
  <si>
    <t>Čibule Erita</t>
  </si>
  <si>
    <t>Roščins Rudolfs</t>
  </si>
  <si>
    <t>Paegle Emīlija</t>
  </si>
  <si>
    <t>Šarpņicka Katrīna</t>
  </si>
  <si>
    <t>Balode Emīlija</t>
  </si>
  <si>
    <t>Kukaine Eva</t>
  </si>
  <si>
    <t>Jakimova Marta</t>
  </si>
  <si>
    <t>Vekmane Marta</t>
  </si>
  <si>
    <t>Zasa Aiva</t>
  </si>
  <si>
    <t>Garda Daniela</t>
  </si>
  <si>
    <t>Fedukova Amēlija</t>
  </si>
  <si>
    <t>DarKy's Dance School</t>
  </si>
  <si>
    <t>Kaļķe Emīlija</t>
  </si>
  <si>
    <t>Bagdone Paula</t>
  </si>
  <si>
    <t>Ozoliņa Aisma</t>
  </si>
  <si>
    <t>Grigorjeva Daniela</t>
  </si>
  <si>
    <t>Jakovļeva Elīza</t>
  </si>
  <si>
    <t>Pižika Elza</t>
  </si>
  <si>
    <t>Kravčenko Emīlija</t>
  </si>
  <si>
    <t>Rijkure Emīlija</t>
  </si>
  <si>
    <t>Jurisone Grēta</t>
  </si>
  <si>
    <t>Rozīte Lote</t>
  </si>
  <si>
    <t>Ābrama Marta</t>
  </si>
  <si>
    <t>Bertmane Melisa</t>
  </si>
  <si>
    <t>Rašmane Stella</t>
  </si>
  <si>
    <t>Vembre Valērija Anna</t>
  </si>
  <si>
    <t>Doma Ugo Henrijs</t>
  </si>
  <si>
    <t>Veizāna Deju Skola</t>
  </si>
  <si>
    <t>Iesmiņš Olafs</t>
  </si>
  <si>
    <t>Podorožkins Donāts</t>
  </si>
  <si>
    <t>Rogovskis Adrians Markuss</t>
  </si>
  <si>
    <t>Engīzers Regnārs</t>
  </si>
  <si>
    <t>Dundurs Oto</t>
  </si>
  <si>
    <t>Millers Rodrigo</t>
  </si>
  <si>
    <t>Piķieris-Soms Rihards</t>
  </si>
  <si>
    <t>Lilienfelde Kate</t>
  </si>
  <si>
    <t>Zvejniece Estere</t>
  </si>
  <si>
    <t>Grīnberga Lote</t>
  </si>
  <si>
    <t>Pakārkle Beāte</t>
  </si>
  <si>
    <t>Martemjanova Elīza</t>
  </si>
  <si>
    <t>Tilcēna Emīlija</t>
  </si>
  <si>
    <t>Ozoliņa Anna</t>
  </si>
  <si>
    <t>Cimermane Daniella</t>
  </si>
  <si>
    <t>Pastore Marta</t>
  </si>
  <si>
    <t>Terentjeva Uļjana</t>
  </si>
  <si>
    <t>Čauna Amanda</t>
  </si>
  <si>
    <t>Daugaviņa Amanda</t>
  </si>
  <si>
    <t xml:space="preserve">Vītuma Jaunzema Anna </t>
  </si>
  <si>
    <t>Bērziņa Elīna</t>
  </si>
  <si>
    <t>Zarakovska Herta</t>
  </si>
  <si>
    <t>Maldute Jasmīna</t>
  </si>
  <si>
    <t>Melngaile Karmena</t>
  </si>
  <si>
    <t>Ragovska Lauma Sofija</t>
  </si>
  <si>
    <t>Mača Patrīcija</t>
  </si>
  <si>
    <t>Nikuradze Sesili</t>
  </si>
  <si>
    <t>Zaiceva Adele</t>
  </si>
  <si>
    <t>Gamzjakova Sofija</t>
  </si>
  <si>
    <t>Šime Agnese</t>
  </si>
  <si>
    <t>Maksurova Alise</t>
  </si>
  <si>
    <t>Cīrule Mona</t>
  </si>
  <si>
    <t>Sondore Dārta</t>
  </si>
  <si>
    <t>Logina Elizabete</t>
  </si>
  <si>
    <t>Džeriņa Jasmīna Raēla</t>
  </si>
  <si>
    <t>Bērziņa Annika</t>
  </si>
  <si>
    <t>Timkiva Bogdana</t>
  </si>
  <si>
    <t>Kļusova Elizabete</t>
  </si>
  <si>
    <t>Spriņģe Alise</t>
  </si>
  <si>
    <t>Bradziniece Karolīna</t>
  </si>
  <si>
    <t>Makovecka Anete</t>
  </si>
  <si>
    <t>Balga Jasmīne</t>
  </si>
  <si>
    <t>Švinka Amēlija</t>
  </si>
  <si>
    <t>Špagina Ariana</t>
  </si>
  <si>
    <t>Zarakovska Petra</t>
  </si>
  <si>
    <t>Jāņkalns Marks</t>
  </si>
  <si>
    <t>Banders Oto</t>
  </si>
  <si>
    <t>Eniņš Alberts</t>
  </si>
  <si>
    <t>Liepure Līva</t>
  </si>
  <si>
    <t>Antāne Anete</t>
  </si>
  <si>
    <t>Kopā uz 2024.g.</t>
  </si>
  <si>
    <t>Dāvis Adrians</t>
  </si>
  <si>
    <t>Kalinina Alisa</t>
  </si>
  <si>
    <t>Sutugina Marija</t>
  </si>
  <si>
    <t>Gorina Naģežda</t>
  </si>
  <si>
    <t>Kangare Alise</t>
  </si>
  <si>
    <t>Timofejeva Darja</t>
  </si>
  <si>
    <t>Supruns Edvards</t>
  </si>
  <si>
    <t>Pouzou Milos</t>
  </si>
  <si>
    <t>Kauls Gustavs</t>
  </si>
  <si>
    <t>Bucis Eduards</t>
  </si>
  <si>
    <t>Vaščinska Alina</t>
  </si>
  <si>
    <t>Žerebcova Margarita</t>
  </si>
  <si>
    <t>Uritska Anastasiia</t>
  </si>
  <si>
    <t>Presnakova Alisa</t>
  </si>
  <si>
    <t>Strēlniece Karlīne</t>
  </si>
  <si>
    <t>Pusa Ksenija</t>
  </si>
  <si>
    <t>Pavasaris 2025</t>
  </si>
  <si>
    <t>Fedotova Sofija</t>
  </si>
  <si>
    <t>Tomsone Grieta</t>
  </si>
  <si>
    <t>Liepiņa Adele</t>
  </si>
  <si>
    <t>Pūcēna Amēlija</t>
  </si>
  <si>
    <t xml:space="preserve">Rinkevica Amēlija </t>
  </si>
  <si>
    <t>Statkus Simona</t>
  </si>
  <si>
    <t>Ivašķeviča Anna</t>
  </si>
  <si>
    <t>Stoļere Estere</t>
  </si>
  <si>
    <t>Ģēģere Sintija</t>
  </si>
  <si>
    <t>Dance Beat studio</t>
  </si>
  <si>
    <t>Zvirgzdiņa Endija</t>
  </si>
  <si>
    <t>Lejiete Leida</t>
  </si>
  <si>
    <t>Saidova Darja</t>
  </si>
  <si>
    <t>Mateļonoka Angelina</t>
  </si>
  <si>
    <t>Simbirceva Elizabete</t>
  </si>
  <si>
    <t>Zariņa Paula</t>
  </si>
  <si>
    <t>Velbicka Nikole</t>
  </si>
  <si>
    <t>Zujeva Alise</t>
  </si>
  <si>
    <t>Meiere Lorete</t>
  </si>
  <si>
    <t>Klišāne Marta</t>
  </si>
  <si>
    <t>Širokaja Teona</t>
  </si>
  <si>
    <t>Feldmane Emma</t>
  </si>
  <si>
    <t>Dance Story1</t>
  </si>
  <si>
    <t>Priede Priedīte Emīlija</t>
  </si>
  <si>
    <t>Boguslavska Sofija</t>
  </si>
  <si>
    <t>Štemere Emīlija</t>
  </si>
  <si>
    <t>Bukovska Beatrise</t>
  </si>
  <si>
    <t>Neimane Elza</t>
  </si>
  <si>
    <t>Šegalinova Jūlija</t>
  </si>
  <si>
    <t>Pekarēviča Laura</t>
  </si>
  <si>
    <t>Solomeviča Anželika</t>
  </si>
  <si>
    <t>Baza Elsa</t>
  </si>
  <si>
    <t>Šteimane Elza Šarlote</t>
  </si>
  <si>
    <t>Mosina Emma</t>
  </si>
  <si>
    <t>Raikova Emma</t>
  </si>
  <si>
    <t>Pavlovska Karlīna</t>
  </si>
  <si>
    <t>Mihailova Marta</t>
  </si>
  <si>
    <t>Cvetkova Evelina</t>
  </si>
  <si>
    <t>Varickis Gustavs</t>
  </si>
  <si>
    <t>Tomsons Rūdis</t>
  </si>
  <si>
    <t>Druka-Jaunzema Karolaina</t>
  </si>
  <si>
    <t>Rozentāle Leila</t>
  </si>
  <si>
    <t>Vaska Madara</t>
  </si>
  <si>
    <t>Dupate Alma</t>
  </si>
  <si>
    <t>Ceriņa Katrīna</t>
  </si>
  <si>
    <t>Vītola Elīza</t>
  </si>
  <si>
    <t>Kučāne Kerija</t>
  </si>
  <si>
    <t>Liepiņa Rebeka Anna</t>
  </si>
  <si>
    <t>Jukumsone-Jukumniece Naomi</t>
  </si>
  <si>
    <t>Kalniņa Katrīna</t>
  </si>
  <si>
    <t>Sosņicka Sāra</t>
  </si>
  <si>
    <t>Perčatkina Poļina</t>
  </si>
  <si>
    <t>Prihodjko Milana</t>
  </si>
  <si>
    <t>Vanaga Elīna</t>
  </si>
  <si>
    <t>Balga Elīza</t>
  </si>
  <si>
    <t>Dima Vanessa</t>
  </si>
  <si>
    <t>Garjanova Alise</t>
  </si>
  <si>
    <t>Jansons Augusts</t>
  </si>
  <si>
    <t>Miņajeva Darja</t>
  </si>
  <si>
    <t>Sārta Agnese</t>
  </si>
  <si>
    <t>Mihailova Emīlija</t>
  </si>
  <si>
    <t>Poļakova Eva</t>
  </si>
  <si>
    <t>Freiberga Alise Maija</t>
  </si>
  <si>
    <t>Lūciņa Gabriēla</t>
  </si>
  <si>
    <t>Kampāne Elīza</t>
  </si>
  <si>
    <t>Čirkovs Renāts</t>
  </si>
  <si>
    <t>Iļjučonoka Madara</t>
  </si>
  <si>
    <t>Vasiļevska Darja</t>
  </si>
  <si>
    <t>Lamberga Valerija</t>
  </si>
  <si>
    <t>Dalecka Nikoleta</t>
  </si>
  <si>
    <t>Hvoščova Sabīne</t>
  </si>
  <si>
    <t>Lilienfelde Tīna</t>
  </si>
  <si>
    <t>Bērziņa Alise</t>
  </si>
  <si>
    <t>Filipova Alisa</t>
  </si>
  <si>
    <t>Melne Elīza Anna</t>
  </si>
  <si>
    <t>Pizika Enija</t>
  </si>
  <si>
    <t>Naumova Gabriela</t>
  </si>
  <si>
    <t>Antonova Nellija</t>
  </si>
  <si>
    <t>Althabere Emīlija</t>
  </si>
  <si>
    <t>Jasnova Agate</t>
  </si>
  <si>
    <t>Romanova Elizabete</t>
  </si>
  <si>
    <t>Strode Estere</t>
  </si>
  <si>
    <t>Skrodere Alise</t>
  </si>
  <si>
    <t>Bērziņa Ketija</t>
  </si>
  <si>
    <t>Čivlis Jēkabs</t>
  </si>
  <si>
    <t>Galveits Valters</t>
  </si>
  <si>
    <t>Zolmane Anete</t>
  </si>
  <si>
    <t>Rastjogina Alise</t>
  </si>
  <si>
    <t>Ķīse Sofija</t>
  </si>
  <si>
    <t>Ceriņa Karlīna</t>
  </si>
  <si>
    <t>Rauduve Kima</t>
  </si>
  <si>
    <t>Krilova Ance</t>
  </si>
  <si>
    <t>Liepiņa Estere</t>
  </si>
  <si>
    <t>Lejiete Linda</t>
  </si>
  <si>
    <t xml:space="preserve">Gutnika Debora </t>
  </si>
  <si>
    <t>Balinska Airita</t>
  </si>
  <si>
    <t>Krūmiņa Roberta</t>
  </si>
  <si>
    <t>Tauriņa Marta</t>
  </si>
  <si>
    <t>Magone Apine Adrija</t>
  </si>
  <si>
    <t>Magonīte Patrīcija</t>
  </si>
  <si>
    <t>Jevčuka Anna Lūcija</t>
  </si>
  <si>
    <t>Lamstere Gabriēla</t>
  </si>
  <si>
    <t>Lubgāne Sofija</t>
  </si>
  <si>
    <t>Paluhina Sofija</t>
  </si>
  <si>
    <t>Ļeonova Letīcija</t>
  </si>
  <si>
    <t>Vilka Aivija</t>
  </si>
  <si>
    <t>Berlizova Darja</t>
  </si>
  <si>
    <t>Steikiša Estere</t>
  </si>
  <si>
    <t>Treija Demetra</t>
  </si>
  <si>
    <t>Freivalde Amanda</t>
  </si>
  <si>
    <t>Fedoreks Leo</t>
  </si>
  <si>
    <t>Jēkabsons Ulfs Dāgs</t>
  </si>
  <si>
    <t>Ozola Terēze Dārta</t>
  </si>
  <si>
    <t>Puķīte Adelina</t>
  </si>
  <si>
    <t>Tīruma Elīza</t>
  </si>
  <si>
    <t>Eglīte Patrīcija</t>
  </si>
  <si>
    <t>Ivanovs Einārs</t>
  </si>
  <si>
    <t>Jevcuks Andris</t>
  </si>
  <si>
    <t>Kuzņecova Milana</t>
  </si>
  <si>
    <t>Krasta Laura</t>
  </si>
  <si>
    <t>Virbule Marta</t>
  </si>
  <si>
    <t>Meire Dace</t>
  </si>
  <si>
    <t>Bogomola Kitija</t>
  </si>
  <si>
    <t>Ceska Adelīna</t>
  </si>
  <si>
    <t>Bajāre Beāte</t>
  </si>
  <si>
    <t>Iļģuciema pamatskola</t>
  </si>
  <si>
    <t>Gogoļa Marija</t>
  </si>
  <si>
    <t>Luckāne Marta</t>
  </si>
  <si>
    <t>Mitrevics Valters</t>
  </si>
  <si>
    <t>Grand Prix Jelgava 2025</t>
  </si>
  <si>
    <t>Skorodihina Arina</t>
  </si>
  <si>
    <t>Rosļaka Valērija</t>
  </si>
  <si>
    <t>Jakovļeva Ariana</t>
  </si>
  <si>
    <t>Beļavska Milana</t>
  </si>
  <si>
    <t>Gintaute Ketija</t>
  </si>
  <si>
    <t>Kumačeva Arina</t>
  </si>
  <si>
    <t xml:space="preserve">Gavriļenko Alise </t>
  </si>
  <si>
    <t>Spička Darja</t>
  </si>
  <si>
    <t>Kalmašnikova Ksenija</t>
  </si>
  <si>
    <t>Raščevska Marianna</t>
  </si>
  <si>
    <t>Markelova Sofija</t>
  </si>
  <si>
    <t>Girucka Agate</t>
  </si>
  <si>
    <t>Timrota Keita</t>
  </si>
  <si>
    <t>Valteres Dance studio</t>
  </si>
  <si>
    <t>Voitenko Darija</t>
  </si>
  <si>
    <t>Čeble Vilena</t>
  </si>
  <si>
    <t>Lindberga Kate</t>
  </si>
  <si>
    <t>Koguce Jeļizaveta</t>
  </si>
  <si>
    <t>Lankovska Austra</t>
  </si>
  <si>
    <t>Sangoviča Paula Luīze</t>
  </si>
  <si>
    <t>Moisejeva Elizavete</t>
  </si>
  <si>
    <t>Desjatnikova Polina</t>
  </si>
  <si>
    <t>Krauze Lauma</t>
  </si>
  <si>
    <t>Vazne Sofija</t>
  </si>
  <si>
    <t>Andrejeva Lana</t>
  </si>
  <si>
    <t>Ļimorenko Sofija</t>
  </si>
  <si>
    <t>Brūvere Gabriela</t>
  </si>
  <si>
    <t>Zaharčukova Agata</t>
  </si>
  <si>
    <t>Ņevedomskis German</t>
  </si>
  <si>
    <t>Vagele Linda</t>
  </si>
  <si>
    <t>Mazuraite Sofija</t>
  </si>
  <si>
    <t>Starceva Anastasija</t>
  </si>
  <si>
    <t>Avlasina Milana</t>
  </si>
  <si>
    <t>Cekula Laura</t>
  </si>
  <si>
    <t>Savko Nellija</t>
  </si>
  <si>
    <t>Krjučkova Evelīna</t>
  </si>
  <si>
    <t>Zvirgzde Elizabete</t>
  </si>
  <si>
    <t>Avlasina Daja</t>
  </si>
  <si>
    <t>Samuilova Jeļizaveta</t>
  </si>
  <si>
    <t>Koževnikova Karolina</t>
  </si>
  <si>
    <t>Jakimeca Katrina</t>
  </si>
  <si>
    <t>Vinkelmane Līva</t>
  </si>
  <si>
    <t>Vinkelmane Lelde</t>
  </si>
  <si>
    <t>Mihaļuka Vera</t>
  </si>
  <si>
    <t>Davidčiks Vjačeslavs</t>
  </si>
  <si>
    <t>Beķere Elisona</t>
  </si>
  <si>
    <t>Zvaigzne Zane</t>
  </si>
  <si>
    <t>Baroneses</t>
  </si>
  <si>
    <t>Jegorova Elīza</t>
  </si>
  <si>
    <t>Lībiete Grieta</t>
  </si>
  <si>
    <t>Ļaksa Luīze Aurēlija</t>
  </si>
  <si>
    <t>Latvian Open 2025</t>
  </si>
  <si>
    <t>Briede Karolīna Patrīcija</t>
  </si>
  <si>
    <t>Bašmakova Daniela</t>
  </si>
  <si>
    <t>Cakše Laura</t>
  </si>
  <si>
    <t>Vaivode Gabriella</t>
  </si>
  <si>
    <t>Upeniece Enija</t>
  </si>
  <si>
    <t>Peļņa Elīna</t>
  </si>
  <si>
    <t>Dreiska Esmeralde</t>
  </si>
  <si>
    <t>Pukinska Laura</t>
  </si>
  <si>
    <t>Vindberga Viktorija</t>
  </si>
  <si>
    <t>Ziņeva Amēlija</t>
  </si>
  <si>
    <t>Pavlova Sintija</t>
  </si>
  <si>
    <t>Filippova Valērija</t>
  </si>
  <si>
    <t>Kuznetsova Agnese</t>
  </si>
  <si>
    <t>Lontone Agate</t>
  </si>
  <si>
    <t>Mitreviča Sofija</t>
  </si>
  <si>
    <t>Novika Patrīcija</t>
  </si>
  <si>
    <t>Sandore Fēbe</t>
  </si>
  <si>
    <t>Burceva Keita</t>
  </si>
  <si>
    <t>Miglāns Markuss</t>
  </si>
  <si>
    <t>Stīpniece Marta</t>
  </si>
  <si>
    <t>Siguldas novada Jaunrades centrs</t>
  </si>
  <si>
    <t>Markevica Līva</t>
  </si>
  <si>
    <t>Ždanova Viktorija</t>
  </si>
  <si>
    <t>Tinusa Grieta</t>
  </si>
  <si>
    <t>Dejas Elpa 2025</t>
  </si>
  <si>
    <t>Amēlija Siliņa</t>
  </si>
  <si>
    <t>STOPTIME Ira</t>
  </si>
  <si>
    <t>Stašule Aleksa</t>
  </si>
  <si>
    <t xml:space="preserve">Anisjko Jana </t>
  </si>
  <si>
    <t xml:space="preserve">Mukāne Linda </t>
  </si>
  <si>
    <t xml:space="preserve">Jankovska Olīvija </t>
  </si>
  <si>
    <t xml:space="preserve">Krīgere Stefānija </t>
  </si>
  <si>
    <t>Verbicka Evelīna</t>
  </si>
  <si>
    <t>Strelkova Amēlija</t>
  </si>
  <si>
    <t>Gorjačeva Vaselisa</t>
  </si>
  <si>
    <t>Geceviča Milana</t>
  </si>
  <si>
    <t xml:space="preserve">Lune Evelīna </t>
  </si>
  <si>
    <t>Fonarjova Mija</t>
  </si>
  <si>
    <t xml:space="preserve">Orlova Samanta </t>
  </si>
  <si>
    <t xml:space="preserve">Vasiļjeva Aleksandra </t>
  </si>
  <si>
    <t xml:space="preserve">Rahimova Aisha </t>
  </si>
  <si>
    <t>Kokotina Agata</t>
  </si>
  <si>
    <t xml:space="preserve">Majorova Anisija </t>
  </si>
  <si>
    <t xml:space="preserve">Stepanova Dārta </t>
  </si>
  <si>
    <t xml:space="preserve">Karnicka Emīlija </t>
  </si>
  <si>
    <t xml:space="preserve">Vengreviča Angelina </t>
  </si>
  <si>
    <t xml:space="preserve">Fiļipova Polina </t>
  </si>
  <si>
    <t xml:space="preserve">Kuzmina Polina </t>
  </si>
  <si>
    <t>STOPTIME Jana</t>
  </si>
  <si>
    <t>Čerpakovska Vera</t>
  </si>
  <si>
    <t>Moroza Ieva</t>
  </si>
  <si>
    <t xml:space="preserve">Sprukte Milana </t>
  </si>
  <si>
    <r>
      <rPr>
        <sz val="12"/>
        <rFont val="Arial"/>
        <family val="2"/>
      </rPr>
      <t>STOPTIME Vlada</t>
    </r>
  </si>
  <si>
    <t>Dombrovska Madara</t>
  </si>
  <si>
    <t>STOPTIME Vlada</t>
  </si>
  <si>
    <t>STOPTIME Agnese</t>
  </si>
  <si>
    <t xml:space="preserve">Novožilova Uļjana </t>
  </si>
  <si>
    <t xml:space="preserve">Dranka Nikola </t>
  </si>
  <si>
    <t xml:space="preserve">Ozerska Darija </t>
  </si>
  <si>
    <t xml:space="preserve">Čible Vilena </t>
  </si>
  <si>
    <t xml:space="preserve">Mikšto Megija </t>
  </si>
  <si>
    <t xml:space="preserve">Sujedova Anisija </t>
  </si>
  <si>
    <t xml:space="preserve">Silineviča Jasmīna </t>
  </si>
  <si>
    <t xml:space="preserve">Lagoiko Nelli </t>
  </si>
  <si>
    <t xml:space="preserve">Čerņavska Sanija </t>
  </si>
  <si>
    <t xml:space="preserve">Strode Keita </t>
  </si>
  <si>
    <t>STOPTIME Sanchez</t>
  </si>
  <si>
    <t>Jurkina Laila</t>
  </si>
  <si>
    <t>Voronova Mija</t>
  </si>
  <si>
    <t xml:space="preserve">Labecka Daniela </t>
  </si>
  <si>
    <t xml:space="preserve">Klimenkova Alisa </t>
  </si>
  <si>
    <t xml:space="preserve">Makreņuka Alisa </t>
  </si>
  <si>
    <t xml:space="preserve">Krasilenko Katarina </t>
  </si>
  <si>
    <t>Jefimova-Mihejeva Viktorija</t>
  </si>
  <si>
    <t>Kozicka Anastasija</t>
  </si>
  <si>
    <t>SHU dance studio</t>
  </si>
  <si>
    <t>Lisenko Milana</t>
  </si>
  <si>
    <t>Skarbeiniece Madara</t>
  </si>
  <si>
    <t>STOPTIME Reinis</t>
  </si>
  <si>
    <t>Stepanova Jekaterina</t>
  </si>
  <si>
    <t>Gubko Adelika</t>
  </si>
  <si>
    <t>Plisko Valerija</t>
  </si>
  <si>
    <t>Daļecka Dominika</t>
  </si>
  <si>
    <t>Jakovļeva Darina</t>
  </si>
  <si>
    <t>Hakanova Ksenija</t>
  </si>
  <si>
    <t>Guļbinska Linda</t>
  </si>
  <si>
    <t>Rinča Renāte</t>
  </si>
  <si>
    <t>Antāns Andžejs</t>
  </si>
  <si>
    <t>Plečkens Vadims</t>
  </si>
  <si>
    <t>Afanasjevs Ervīns</t>
  </si>
  <si>
    <t>Kozočkina Darja</t>
  </si>
  <si>
    <t>Zotova Valērija</t>
  </si>
  <si>
    <t>Pekareva Sofia</t>
  </si>
  <si>
    <t>Staleronka Samanta</t>
  </si>
  <si>
    <t>STOPTIME Evita</t>
  </si>
  <si>
    <t>Gudakovska Zlata</t>
  </si>
  <si>
    <t>Ančupāne Anna</t>
  </si>
  <si>
    <t>Kairiša Marija</t>
  </si>
  <si>
    <t>Pavkšto Mila</t>
  </si>
  <si>
    <t>Guļčaka Anna</t>
  </si>
  <si>
    <t>Nikonova Jelizaveta</t>
  </si>
  <si>
    <t>Kopā uz 2025.g.</t>
  </si>
  <si>
    <t>FREEZE THE BEAT 2026</t>
  </si>
  <si>
    <t>Kučiere Kristiāna Enija</t>
  </si>
  <si>
    <t>Kovaļonoka Nikola</t>
  </si>
  <si>
    <t>Djačenko Džesika</t>
  </si>
  <si>
    <t>Kaliksone Kristena</t>
  </si>
  <si>
    <t>Jerošenko Izabella</t>
  </si>
  <si>
    <t>BACKSTAGE Art Center Liepāja</t>
  </si>
  <si>
    <t>Lagzdiņa Justīne</t>
  </si>
  <si>
    <t>Borisova Nika</t>
  </si>
  <si>
    <t>Zujeva Paula</t>
  </si>
  <si>
    <t>Ratkeviča Adelina</t>
  </si>
  <si>
    <t>Maliseva Bella</t>
  </si>
  <si>
    <t>Meire Justīne</t>
  </si>
  <si>
    <t>Meire Madara</t>
  </si>
  <si>
    <t>Stoņus Laura Laima</t>
  </si>
  <si>
    <t>Bortiņa Vanesa</t>
  </si>
  <si>
    <t>Kortikova Adriana</t>
  </si>
  <si>
    <t>Liepa Estere</t>
  </si>
  <si>
    <t>Ozoliņa Keita</t>
  </si>
  <si>
    <t>Kalniņa Krista</t>
  </si>
  <si>
    <t>Aleksandra</t>
  </si>
  <si>
    <t>Zīmone Luīze</t>
  </si>
  <si>
    <t>Arhipova Aleksandra</t>
  </si>
  <si>
    <t>Kučiere Karolīna Eila</t>
  </si>
  <si>
    <t>Vecums Veco Melisa</t>
  </si>
  <si>
    <t>Daugulis Daniils</t>
  </si>
  <si>
    <t>Poddeņežnijs Bogdans</t>
  </si>
  <si>
    <t>Heimane Linda</t>
  </si>
  <si>
    <t>Gluskere Daniela</t>
  </si>
  <si>
    <t>Ghetto Dance</t>
  </si>
  <si>
    <t>Nikulina Eva</t>
  </si>
  <si>
    <t>Gulbis Ernests</t>
  </si>
  <si>
    <t>Ermolenko Marija</t>
  </si>
  <si>
    <t xml:space="preserve">Verbicka Alisa </t>
  </si>
  <si>
    <t xml:space="preserve">Hanzena Juna </t>
  </si>
  <si>
    <t>Latvian Open 2026</t>
  </si>
  <si>
    <t>Punkti (01.03.2026)</t>
  </si>
  <si>
    <t xml:space="preserve">Miķelsone Evelīna </t>
  </si>
  <si>
    <t>Tukuma deju skola DEMO</t>
  </si>
  <si>
    <t>Fļerko Adelīna</t>
  </si>
  <si>
    <t>Beraģe Nellija</t>
  </si>
  <si>
    <t>Vītoliņa Elza</t>
  </si>
  <si>
    <t>Savčenko Margarita</t>
  </si>
  <si>
    <t>Magada Anastasija</t>
  </si>
  <si>
    <t>Litvienko Valērija</t>
  </si>
  <si>
    <t>Ignatjeva Sofija</t>
  </si>
  <si>
    <t>Jofisa Naomi</t>
  </si>
  <si>
    <t>Radeviča Polina</t>
  </si>
  <si>
    <t>Fomcenkova Alina</t>
  </si>
  <si>
    <t>Šaķele Valerija</t>
  </si>
  <si>
    <t>Siņica Anna</t>
  </si>
  <si>
    <t>Kopštsļeva Uļjana</t>
  </si>
  <si>
    <t>Staļģevica Santa</t>
  </si>
  <si>
    <t>Lūse Amanda</t>
  </si>
  <si>
    <t>Geks Armands</t>
  </si>
  <si>
    <t>Balodis Artuss</t>
  </si>
  <si>
    <t>Lavrinovičs Raimonds</t>
  </si>
  <si>
    <t>Petrovskis Janeks</t>
  </si>
  <si>
    <t>Matuse Alise</t>
  </si>
  <si>
    <t>Platačs Silvestrs</t>
  </si>
  <si>
    <t>Abdelnabi Sofi</t>
  </si>
  <si>
    <t>Ptaškina Arina</t>
  </si>
  <si>
    <t>Vecarāja Ieva</t>
  </si>
  <si>
    <t>Sadovnycha Karolina</t>
  </si>
  <si>
    <t>Bitele Milana</t>
  </si>
  <si>
    <t>Bičune Ērika</t>
  </si>
  <si>
    <t>Sproģe Evelina</t>
  </si>
  <si>
    <t>Urtāne Liliāna</t>
  </si>
  <si>
    <t>Vasiļjeva Alisa</t>
  </si>
  <si>
    <t>Jevsejeva Sofija</t>
  </si>
  <si>
    <t>Plotkāne Violetta</t>
  </si>
  <si>
    <t>Turovska Estere</t>
  </si>
  <si>
    <t>Zaskaļa Milina</t>
  </si>
  <si>
    <t>Dubrovska Milana</t>
  </si>
  <si>
    <t>Aizbalte Alise</t>
  </si>
  <si>
    <t>Degsne Arina</t>
  </si>
  <si>
    <t xml:space="preserve">Melnic Madalina </t>
  </si>
  <si>
    <t>Kjajhare Elizabete</t>
  </si>
  <si>
    <t>Usačova Amēlija</t>
  </si>
  <si>
    <t>Siliņa Amēlija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</si>
</sst>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Arial"/>
      <family val="2"/>
      <charset val="204"/>
    </font>
    <font>
      <sz val="10"/>
      <name val="Arial"/>
      <family val="2"/>
      <charset val="186"/>
    </font>
    <font>
      <sz val="9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8" fillId="0" borderId="0"/>
    <xf numFmtId="0" fontId="33" fillId="0" borderId="0"/>
  </cellStyleXfs>
  <cellXfs count="345">
    <xf numFmtId="0" fontId="0" fillId="0" borderId="0" xfId="0"/>
    <xf numFmtId="1" fontId="31" fillId="3" borderId="3" xfId="0" applyNumberFormat="1" applyFont="1" applyFill="1" applyBorder="1" applyAlignment="1">
      <alignment horizontal="center"/>
    </xf>
    <xf numFmtId="1" fontId="29" fillId="3" borderId="3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wrapText="1"/>
    </xf>
    <xf numFmtId="1" fontId="0" fillId="3" borderId="3" xfId="0" applyNumberFormat="1" applyFill="1" applyBorder="1" applyAlignment="1">
      <alignment horizontal="center"/>
    </xf>
    <xf numFmtId="1" fontId="0" fillId="4" borderId="3" xfId="0" applyNumberFormat="1" applyFill="1" applyBorder="1" applyAlignment="1">
      <alignment horizontal="center" wrapText="1"/>
    </xf>
    <xf numFmtId="1" fontId="0" fillId="0" borderId="1" xfId="0" applyNumberFormat="1" applyBorder="1" applyAlignment="1">
      <alignment horizontal="left" wrapText="1"/>
    </xf>
    <xf numFmtId="1" fontId="0" fillId="0" borderId="1" xfId="0" applyNumberFormat="1" applyBorder="1" applyAlignment="1">
      <alignment horizontal="left" vertical="center" wrapText="1"/>
    </xf>
    <xf numFmtId="1" fontId="0" fillId="0" borderId="1" xfId="0" applyNumberFormat="1" applyBorder="1" applyAlignment="1">
      <alignment horizontal="left"/>
    </xf>
    <xf numFmtId="1" fontId="0" fillId="0" borderId="1" xfId="0" applyNumberFormat="1" applyBorder="1" applyAlignment="1">
      <alignment horizontal="left" vertical="center"/>
    </xf>
    <xf numFmtId="1" fontId="0" fillId="4" borderId="3" xfId="0" applyNumberFormat="1" applyFill="1" applyBorder="1" applyAlignment="1">
      <alignment horizontal="center"/>
    </xf>
    <xf numFmtId="1" fontId="0" fillId="4" borderId="3" xfId="0" applyNumberFormat="1" applyFill="1" applyBorder="1" applyAlignment="1">
      <alignment horizontal="center" vertical="center" wrapText="1"/>
    </xf>
    <xf numFmtId="1" fontId="0" fillId="3" borderId="3" xfId="0" applyNumberFormat="1" applyFill="1" applyBorder="1" applyAlignment="1">
      <alignment horizontal="center" vertical="center"/>
    </xf>
    <xf numFmtId="1" fontId="30" fillId="3" borderId="3" xfId="0" applyNumberFormat="1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0" borderId="6" xfId="0" applyNumberFormat="1" applyBorder="1" applyAlignment="1"/>
    <xf numFmtId="1" fontId="0" fillId="0" borderId="1" xfId="0" applyNumberFormat="1" applyBorder="1" applyAlignment="1"/>
    <xf numFmtId="1" fontId="0" fillId="0" borderId="8" xfId="0" applyNumberFormat="1" applyBorder="1" applyAlignment="1"/>
    <xf numFmtId="1" fontId="0" fillId="0" borderId="1" xfId="0" applyNumberFormat="1" applyFont="1" applyBorder="1" applyAlignment="1">
      <alignment horizontal="left"/>
    </xf>
    <xf numFmtId="1" fontId="31" fillId="4" borderId="3" xfId="0" applyNumberFormat="1" applyFont="1" applyFill="1" applyBorder="1" applyAlignment="1">
      <alignment horizontal="center"/>
    </xf>
    <xf numFmtId="1" fontId="29" fillId="4" borderId="3" xfId="0" applyNumberFormat="1" applyFont="1" applyFill="1" applyBorder="1" applyAlignment="1">
      <alignment horizontal="center"/>
    </xf>
    <xf numFmtId="1" fontId="29" fillId="4" borderId="3" xfId="0" applyNumberFormat="1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/>
    </xf>
    <xf numFmtId="1" fontId="0" fillId="4" borderId="3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32" fillId="0" borderId="6" xfId="0" applyNumberFormat="1" applyFont="1" applyBorder="1" applyAlignment="1"/>
    <xf numFmtId="1" fontId="32" fillId="0" borderId="8" xfId="0" applyNumberFormat="1" applyFont="1" applyBorder="1" applyAlignment="1"/>
    <xf numFmtId="1" fontId="32" fillId="0" borderId="9" xfId="0" applyNumberFormat="1" applyFont="1" applyBorder="1" applyAlignment="1"/>
    <xf numFmtId="1" fontId="32" fillId="0" borderId="10" xfId="0" applyNumberFormat="1" applyFont="1" applyBorder="1" applyAlignment="1"/>
    <xf numFmtId="1" fontId="0" fillId="4" borderId="3" xfId="0" applyNumberFormat="1" applyFill="1" applyBorder="1" applyAlignment="1">
      <alignment horizontal="center" vertical="center" wrapText="1"/>
    </xf>
    <xf numFmtId="1" fontId="0" fillId="4" borderId="3" xfId="0" applyNumberFormat="1" applyFill="1" applyBorder="1" applyAlignment="1">
      <alignment horizontal="center" vertical="center" wrapText="1"/>
    </xf>
    <xf numFmtId="1" fontId="29" fillId="4" borderId="3" xfId="0" applyNumberFormat="1" applyFont="1" applyFill="1" applyBorder="1" applyAlignment="1">
      <alignment horizontal="center"/>
    </xf>
    <xf numFmtId="1" fontId="29" fillId="4" borderId="3" xfId="0" applyNumberFormat="1" applyFont="1" applyFill="1" applyBorder="1" applyAlignment="1">
      <alignment horizontal="center" vertical="center"/>
    </xf>
    <xf numFmtId="1" fontId="30" fillId="4" borderId="3" xfId="0" applyNumberFormat="1" applyFont="1" applyFill="1" applyBorder="1" applyAlignment="1">
      <alignment horizontal="center"/>
    </xf>
    <xf numFmtId="1" fontId="29" fillId="4" borderId="3" xfId="0" applyNumberFormat="1" applyFont="1" applyFill="1" applyBorder="1" applyAlignment="1">
      <alignment horizontal="center"/>
    </xf>
    <xf numFmtId="1" fontId="29" fillId="4" borderId="3" xfId="0" applyNumberFormat="1" applyFont="1" applyFill="1" applyBorder="1" applyAlignment="1">
      <alignment horizontal="center" vertical="center"/>
    </xf>
    <xf numFmtId="1" fontId="32" fillId="0" borderId="1" xfId="0" applyNumberFormat="1" applyFont="1" applyBorder="1" applyAlignment="1">
      <alignment vertical="center" wrapText="1"/>
    </xf>
    <xf numFmtId="1" fontId="32" fillId="0" borderId="1" xfId="0" applyNumberFormat="1" applyFont="1" applyBorder="1" applyAlignment="1">
      <alignment vertical="center"/>
    </xf>
    <xf numFmtId="1" fontId="27" fillId="4" borderId="3" xfId="0" applyNumberFormat="1" applyFont="1" applyFill="1" applyBorder="1" applyAlignment="1">
      <alignment horizontal="center"/>
    </xf>
    <xf numFmtId="1" fontId="34" fillId="4" borderId="3" xfId="0" applyNumberFormat="1" applyFont="1" applyFill="1" applyBorder="1" applyAlignment="1">
      <alignment horizontal="center" vertical="center" wrapText="1"/>
    </xf>
    <xf numFmtId="1" fontId="36" fillId="0" borderId="1" xfId="0" applyNumberFormat="1" applyFont="1" applyBorder="1" applyAlignment="1">
      <alignment vertical="center" wrapText="1"/>
    </xf>
    <xf numFmtId="1" fontId="27" fillId="4" borderId="3" xfId="0" applyNumberFormat="1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left"/>
    </xf>
    <xf numFmtId="0" fontId="28" fillId="4" borderId="1" xfId="0" applyFont="1" applyFill="1" applyBorder="1" applyAlignment="1">
      <alignment horizontal="center"/>
    </xf>
    <xf numFmtId="1" fontId="34" fillId="3" borderId="3" xfId="0" applyNumberFormat="1" applyFont="1" applyFill="1" applyBorder="1" applyAlignment="1">
      <alignment horizontal="center"/>
    </xf>
    <xf numFmtId="1" fontId="35" fillId="0" borderId="1" xfId="0" applyNumberFormat="1" applyFont="1" applyBorder="1" applyAlignment="1">
      <alignment vertical="center"/>
    </xf>
    <xf numFmtId="1" fontId="34" fillId="3" borderId="3" xfId="0" applyNumberFormat="1" applyFont="1" applyFill="1" applyBorder="1" applyAlignment="1">
      <alignment horizontal="center" vertical="center" wrapText="1"/>
    </xf>
    <xf numFmtId="1" fontId="38" fillId="4" borderId="3" xfId="0" applyNumberFormat="1" applyFont="1" applyFill="1" applyBorder="1" applyAlignment="1">
      <alignment horizontal="center"/>
    </xf>
    <xf numFmtId="1" fontId="30" fillId="0" borderId="1" xfId="0" applyNumberFormat="1" applyFont="1" applyBorder="1" applyAlignment="1">
      <alignment horizontal="left"/>
    </xf>
    <xf numFmtId="1" fontId="30" fillId="0" borderId="1" xfId="0" applyNumberFormat="1" applyFont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" fontId="32" fillId="0" borderId="1" xfId="0" applyNumberFormat="1" applyFont="1" applyBorder="1" applyAlignment="1"/>
    <xf numFmtId="1" fontId="32" fillId="4" borderId="1" xfId="0" applyNumberFormat="1" applyFont="1" applyFill="1" applyBorder="1" applyAlignment="1"/>
    <xf numFmtId="1" fontId="29" fillId="4" borderId="3" xfId="0" applyNumberFormat="1" applyFont="1" applyFill="1" applyBorder="1" applyAlignment="1">
      <alignment horizontal="center"/>
    </xf>
    <xf numFmtId="1" fontId="29" fillId="4" borderId="3" xfId="0" applyNumberFormat="1" applyFont="1" applyFill="1" applyBorder="1" applyAlignment="1">
      <alignment horizontal="center" vertical="center"/>
    </xf>
    <xf numFmtId="1" fontId="26" fillId="4" borderId="3" xfId="0" applyNumberFormat="1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left" vertical="center"/>
    </xf>
    <xf numFmtId="0" fontId="39" fillId="4" borderId="1" xfId="0" applyFont="1" applyFill="1" applyBorder="1" applyAlignment="1">
      <alignment horizontal="center" vertical="center"/>
    </xf>
    <xf numFmtId="0" fontId="41" fillId="4" borderId="1" xfId="0" applyFont="1" applyFill="1" applyBorder="1" applyAlignment="1">
      <alignment horizontal="center" vertical="center"/>
    </xf>
    <xf numFmtId="0" fontId="40" fillId="4" borderId="1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vertical="center"/>
    </xf>
    <xf numFmtId="0" fontId="37" fillId="4" borderId="1" xfId="0" applyFont="1" applyFill="1" applyBorder="1" applyAlignment="1">
      <alignment horizontal="left"/>
    </xf>
    <xf numFmtId="1" fontId="26" fillId="4" borderId="3" xfId="0" applyNumberFormat="1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 vertical="center" wrapText="1"/>
    </xf>
    <xf numFmtId="1" fontId="29" fillId="4" borderId="3" xfId="0" applyNumberFormat="1" applyFont="1" applyFill="1" applyBorder="1" applyAlignment="1">
      <alignment horizontal="center"/>
    </xf>
    <xf numFmtId="1" fontId="29" fillId="4" borderId="3" xfId="0" applyNumberFormat="1" applyFont="1" applyFill="1" applyBorder="1" applyAlignment="1">
      <alignment horizontal="center" vertical="center"/>
    </xf>
    <xf numFmtId="0" fontId="38" fillId="4" borderId="1" xfId="0" applyFont="1" applyFill="1" applyBorder="1" applyAlignment="1">
      <alignment horizontal="left" vertical="center"/>
    </xf>
    <xf numFmtId="0" fontId="38" fillId="4" borderId="1" xfId="0" applyFont="1" applyFill="1" applyBorder="1" applyAlignment="1">
      <alignment horizontal="center" vertical="center"/>
    </xf>
    <xf numFmtId="1" fontId="25" fillId="4" borderId="3" xfId="0" applyNumberFormat="1" applyFont="1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/>
    </xf>
    <xf numFmtId="1" fontId="27" fillId="4" borderId="4" xfId="0" applyNumberFormat="1" applyFont="1" applyFill="1" applyBorder="1" applyAlignment="1">
      <alignment horizontal="center" vertical="center" wrapText="1"/>
    </xf>
    <xf numFmtId="0" fontId="38" fillId="4" borderId="1" xfId="2" applyFont="1" applyFill="1" applyBorder="1" applyAlignment="1">
      <alignment horizontal="left" vertical="center" wrapText="1"/>
    </xf>
    <xf numFmtId="0" fontId="38" fillId="4" borderId="1" xfId="0" applyFont="1" applyFill="1" applyBorder="1" applyAlignment="1">
      <alignment horizontal="left" vertical="center" wrapText="1"/>
    </xf>
    <xf numFmtId="1" fontId="29" fillId="4" borderId="3" xfId="0" applyNumberFormat="1" applyFont="1" applyFill="1" applyBorder="1" applyAlignment="1">
      <alignment horizontal="center"/>
    </xf>
    <xf numFmtId="1" fontId="24" fillId="4" borderId="3" xfId="0" applyNumberFormat="1" applyFont="1" applyFill="1" applyBorder="1" applyAlignment="1">
      <alignment horizontal="center" vertical="center" wrapText="1"/>
    </xf>
    <xf numFmtId="1" fontId="24" fillId="4" borderId="3" xfId="0" applyNumberFormat="1" applyFont="1" applyFill="1" applyBorder="1" applyAlignment="1">
      <alignment horizontal="center"/>
    </xf>
    <xf numFmtId="1" fontId="23" fillId="4" borderId="3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vertical="center" wrapText="1"/>
    </xf>
    <xf numFmtId="1" fontId="0" fillId="4" borderId="1" xfId="0" applyNumberFormat="1" applyFill="1" applyBorder="1" applyAlignment="1"/>
    <xf numFmtId="1" fontId="30" fillId="0" borderId="1" xfId="0" applyNumberFormat="1" applyFont="1" applyBorder="1" applyAlignment="1"/>
    <xf numFmtId="0" fontId="28" fillId="4" borderId="1" xfId="0" applyFont="1" applyFill="1" applyBorder="1" applyAlignment="1">
      <alignment vertical="center"/>
    </xf>
    <xf numFmtId="0" fontId="0" fillId="4" borderId="1" xfId="0" applyFill="1" applyBorder="1" applyAlignment="1"/>
    <xf numFmtId="1" fontId="0" fillId="0" borderId="1" xfId="0" applyNumberFormat="1" applyBorder="1" applyAlignment="1">
      <alignment vertical="center"/>
    </xf>
    <xf numFmtId="1" fontId="29" fillId="4" borderId="3" xfId="0" applyNumberFormat="1" applyFont="1" applyFill="1" applyBorder="1" applyAlignment="1">
      <alignment horizontal="center"/>
    </xf>
    <xf numFmtId="1" fontId="29" fillId="4" borderId="3" xfId="0" applyNumberFormat="1" applyFont="1" applyFill="1" applyBorder="1" applyAlignment="1">
      <alignment horizontal="center" vertical="center"/>
    </xf>
    <xf numFmtId="1" fontId="27" fillId="4" borderId="3" xfId="0" applyNumberFormat="1" applyFont="1" applyFill="1" applyBorder="1" applyAlignment="1">
      <alignment horizontal="center" vertical="center" wrapText="1"/>
    </xf>
    <xf numFmtId="1" fontId="29" fillId="4" borderId="3" xfId="0" applyNumberFormat="1" applyFont="1" applyFill="1" applyBorder="1" applyAlignment="1">
      <alignment horizontal="center"/>
    </xf>
    <xf numFmtId="1" fontId="29" fillId="4" borderId="3" xfId="0" applyNumberFormat="1" applyFont="1" applyFill="1" applyBorder="1" applyAlignment="1">
      <alignment horizontal="center" vertical="center"/>
    </xf>
    <xf numFmtId="1" fontId="22" fillId="4" borderId="3" xfId="0" applyNumberFormat="1" applyFont="1" applyFill="1" applyBorder="1" applyAlignment="1">
      <alignment horizontal="center" vertical="center" wrapText="1"/>
    </xf>
    <xf numFmtId="1" fontId="22" fillId="4" borderId="3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" fontId="0" fillId="6" borderId="1" xfId="0" applyNumberFormat="1" applyFill="1" applyBorder="1" applyAlignment="1">
      <alignment horizontal="center" vertical="center" wrapText="1"/>
    </xf>
    <xf numFmtId="1" fontId="27" fillId="4" borderId="4" xfId="0" applyNumberFormat="1" applyFont="1" applyFill="1" applyBorder="1" applyAlignment="1">
      <alignment vertical="center" wrapText="1"/>
    </xf>
    <xf numFmtId="1" fontId="32" fillId="4" borderId="6" xfId="0" applyNumberFormat="1" applyFont="1" applyFill="1" applyBorder="1" applyAlignment="1"/>
    <xf numFmtId="1" fontId="32" fillId="4" borderId="8" xfId="0" applyNumberFormat="1" applyFont="1" applyFill="1" applyBorder="1" applyAlignment="1"/>
    <xf numFmtId="1" fontId="34" fillId="4" borderId="3" xfId="0" applyNumberFormat="1" applyFont="1" applyFill="1" applyBorder="1" applyAlignment="1">
      <alignment horizontal="center"/>
    </xf>
    <xf numFmtId="1" fontId="36" fillId="4" borderId="6" xfId="0" applyNumberFormat="1" applyFont="1" applyFill="1" applyBorder="1" applyAlignment="1"/>
    <xf numFmtId="1" fontId="36" fillId="4" borderId="8" xfId="0" applyNumberFormat="1" applyFont="1" applyFill="1" applyBorder="1" applyAlignment="1"/>
    <xf numFmtId="1" fontId="21" fillId="0" borderId="1" xfId="0" applyNumberFormat="1" applyFont="1" applyBorder="1" applyAlignment="1">
      <alignment horizontal="center" vertical="center" wrapText="1"/>
    </xf>
    <xf numFmtId="1" fontId="21" fillId="4" borderId="1" xfId="0" applyNumberFormat="1" applyFont="1" applyFill="1" applyBorder="1" applyAlignment="1">
      <alignment horizontal="center" vertical="center" wrapText="1"/>
    </xf>
    <xf numFmtId="1" fontId="36" fillId="4" borderId="1" xfId="0" applyNumberFormat="1" applyFont="1" applyFill="1" applyBorder="1" applyAlignment="1"/>
    <xf numFmtId="1" fontId="21" fillId="4" borderId="3" xfId="0" applyNumberFormat="1" applyFont="1" applyFill="1" applyBorder="1" applyAlignment="1">
      <alignment horizontal="center" wrapText="1"/>
    </xf>
    <xf numFmtId="1" fontId="21" fillId="4" borderId="3" xfId="0" applyNumberFormat="1" applyFont="1" applyFill="1" applyBorder="1" applyAlignment="1">
      <alignment horizontal="center"/>
    </xf>
    <xf numFmtId="1" fontId="35" fillId="4" borderId="1" xfId="0" applyNumberFormat="1" applyFont="1" applyFill="1" applyBorder="1" applyAlignment="1">
      <alignment vertical="center"/>
    </xf>
    <xf numFmtId="1" fontId="32" fillId="4" borderId="1" xfId="0" applyNumberFormat="1" applyFont="1" applyFill="1" applyBorder="1" applyAlignment="1">
      <alignment vertical="center"/>
    </xf>
    <xf numFmtId="1" fontId="21" fillId="4" borderId="3" xfId="0" applyNumberFormat="1" applyFont="1" applyFill="1" applyBorder="1" applyAlignment="1">
      <alignment horizontal="center" vertical="center" wrapText="1"/>
    </xf>
    <xf numFmtId="1" fontId="29" fillId="4" borderId="3" xfId="0" applyNumberFormat="1" applyFont="1" applyFill="1" applyBorder="1" applyAlignment="1">
      <alignment horizontal="center"/>
    </xf>
    <xf numFmtId="1" fontId="29" fillId="4" borderId="3" xfId="0" applyNumberFormat="1" applyFont="1" applyFill="1" applyBorder="1" applyAlignment="1">
      <alignment horizontal="center" vertical="center"/>
    </xf>
    <xf numFmtId="1" fontId="29" fillId="4" borderId="3" xfId="0" applyNumberFormat="1" applyFont="1" applyFill="1" applyBorder="1" applyAlignment="1">
      <alignment horizontal="center"/>
    </xf>
    <xf numFmtId="1" fontId="29" fillId="4" borderId="3" xfId="0" applyNumberFormat="1" applyFont="1" applyFill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center" vertical="center" wrapText="1"/>
    </xf>
    <xf numFmtId="1" fontId="34" fillId="4" borderId="3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1" fontId="20" fillId="5" borderId="3" xfId="0" applyNumberFormat="1" applyFont="1" applyFill="1" applyBorder="1" applyAlignment="1">
      <alignment horizontal="center" vertical="center" wrapText="1"/>
    </xf>
    <xf numFmtId="1" fontId="38" fillId="5" borderId="3" xfId="0" applyNumberFormat="1" applyFont="1" applyFill="1" applyBorder="1" applyAlignment="1">
      <alignment horizontal="center"/>
    </xf>
    <xf numFmtId="1" fontId="31" fillId="5" borderId="3" xfId="0" applyNumberFormat="1" applyFont="1" applyFill="1" applyBorder="1" applyAlignment="1">
      <alignment horizontal="center"/>
    </xf>
    <xf numFmtId="1" fontId="21" fillId="5" borderId="3" xfId="0" applyNumberFormat="1" applyFont="1" applyFill="1" applyBorder="1" applyAlignment="1">
      <alignment horizontal="center"/>
    </xf>
    <xf numFmtId="1" fontId="29" fillId="5" borderId="3" xfId="0" applyNumberFormat="1" applyFon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" fontId="29" fillId="5" borderId="3" xfId="0" applyNumberFormat="1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left" vertical="center"/>
    </xf>
    <xf numFmtId="1" fontId="19" fillId="4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1" fontId="34" fillId="4" borderId="3" xfId="0" applyNumberFormat="1" applyFont="1" applyFill="1" applyBorder="1" applyAlignment="1">
      <alignment horizontal="center" vertical="center" wrapText="1"/>
    </xf>
    <xf numFmtId="1" fontId="29" fillId="4" borderId="3" xfId="0" applyNumberFormat="1" applyFont="1" applyFill="1" applyBorder="1" applyAlignment="1">
      <alignment horizontal="center"/>
    </xf>
    <xf numFmtId="1" fontId="29" fillId="4" borderId="3" xfId="0" applyNumberFormat="1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 wrapText="1"/>
    </xf>
    <xf numFmtId="1" fontId="34" fillId="4" borderId="3" xfId="0" applyNumberFormat="1" applyFont="1" applyFill="1" applyBorder="1" applyAlignment="1">
      <alignment horizontal="center" vertical="center" wrapText="1"/>
    </xf>
    <xf numFmtId="1" fontId="29" fillId="4" borderId="3" xfId="0" applyNumberFormat="1" applyFont="1" applyFill="1" applyBorder="1" applyAlignment="1">
      <alignment horizontal="center"/>
    </xf>
    <xf numFmtId="1" fontId="29" fillId="4" borderId="3" xfId="0" applyNumberFormat="1" applyFont="1" applyFill="1" applyBorder="1" applyAlignment="1">
      <alignment horizontal="center" vertical="center"/>
    </xf>
    <xf numFmtId="1" fontId="17" fillId="4" borderId="1" xfId="0" applyNumberFormat="1" applyFont="1" applyFill="1" applyBorder="1" applyAlignment="1">
      <alignment horizontal="center" vertical="center" wrapText="1"/>
    </xf>
    <xf numFmtId="1" fontId="34" fillId="4" borderId="3" xfId="0" applyNumberFormat="1" applyFont="1" applyFill="1" applyBorder="1" applyAlignment="1">
      <alignment horizontal="center" vertical="center" wrapText="1"/>
    </xf>
    <xf numFmtId="1" fontId="29" fillId="4" borderId="3" xfId="0" applyNumberFormat="1" applyFont="1" applyFill="1" applyBorder="1" applyAlignment="1">
      <alignment horizontal="center"/>
    </xf>
    <xf numFmtId="1" fontId="34" fillId="4" borderId="3" xfId="0" applyNumberFormat="1" applyFont="1" applyFill="1" applyBorder="1" applyAlignment="1">
      <alignment horizontal="center" vertical="center" wrapText="1"/>
    </xf>
    <xf numFmtId="1" fontId="29" fillId="4" borderId="3" xfId="0" applyNumberFormat="1" applyFont="1" applyFill="1" applyBorder="1" applyAlignment="1">
      <alignment horizontal="center"/>
    </xf>
    <xf numFmtId="1" fontId="27" fillId="4" borderId="3" xfId="0" applyNumberFormat="1" applyFont="1" applyFill="1" applyBorder="1" applyAlignment="1">
      <alignment horizontal="center" vertical="center" wrapText="1"/>
    </xf>
    <xf numFmtId="1" fontId="27" fillId="4" borderId="4" xfId="0" applyNumberFormat="1" applyFont="1" applyFill="1" applyBorder="1" applyAlignment="1">
      <alignment horizontal="center" vertical="center" wrapText="1"/>
    </xf>
    <xf numFmtId="1" fontId="29" fillId="4" borderId="3" xfId="0" applyNumberFormat="1" applyFont="1" applyFill="1" applyBorder="1" applyAlignment="1">
      <alignment horizontal="center" vertical="center"/>
    </xf>
    <xf numFmtId="1" fontId="16" fillId="4" borderId="1" xfId="0" applyNumberFormat="1" applyFont="1" applyFill="1" applyBorder="1" applyAlignment="1">
      <alignment horizontal="center" vertical="center" wrapText="1"/>
    </xf>
    <xf numFmtId="1" fontId="29" fillId="4" borderId="3" xfId="0" applyNumberFormat="1" applyFont="1" applyFill="1" applyBorder="1" applyAlignment="1">
      <alignment horizontal="center"/>
    </xf>
    <xf numFmtId="1" fontId="15" fillId="4" borderId="1" xfId="0" applyNumberFormat="1" applyFont="1" applyFill="1" applyBorder="1" applyAlignment="1">
      <alignment horizontal="center" vertical="center" wrapText="1"/>
    </xf>
    <xf numFmtId="1" fontId="38" fillId="4" borderId="1" xfId="0" applyNumberFormat="1" applyFont="1" applyFill="1" applyBorder="1" applyAlignment="1">
      <alignment horizontal="center"/>
    </xf>
    <xf numFmtId="1" fontId="30" fillId="0" borderId="3" xfId="0" applyNumberFormat="1" applyFont="1" applyBorder="1" applyAlignment="1">
      <alignment horizontal="center"/>
    </xf>
    <xf numFmtId="1" fontId="26" fillId="4" borderId="1" xfId="0" applyNumberFormat="1" applyFont="1" applyFill="1" applyBorder="1" applyAlignment="1">
      <alignment horizontal="center" vertical="center" wrapText="1"/>
    </xf>
    <xf numFmtId="1" fontId="14" fillId="4" borderId="3" xfId="0" applyNumberFormat="1" applyFont="1" applyFill="1" applyBorder="1" applyAlignment="1">
      <alignment horizontal="center"/>
    </xf>
    <xf numFmtId="1" fontId="14" fillId="5" borderId="3" xfId="0" applyNumberFormat="1" applyFont="1" applyFill="1" applyBorder="1" applyAlignment="1">
      <alignment horizontal="center" vertical="center" wrapText="1"/>
    </xf>
    <xf numFmtId="1" fontId="13" fillId="4" borderId="3" xfId="0" applyNumberFormat="1" applyFont="1" applyFill="1" applyBorder="1" applyAlignment="1">
      <alignment horizontal="center" vertical="center" wrapText="1"/>
    </xf>
    <xf numFmtId="1" fontId="13" fillId="4" borderId="3" xfId="0" applyNumberFormat="1" applyFont="1" applyFill="1" applyBorder="1" applyAlignment="1">
      <alignment horizontal="center"/>
    </xf>
    <xf numFmtId="1" fontId="0" fillId="5" borderId="3" xfId="0" applyNumberFormat="1" applyFill="1" applyBorder="1" applyAlignment="1">
      <alignment horizontal="center" vertical="center" wrapText="1"/>
    </xf>
    <xf numFmtId="1" fontId="38" fillId="4" borderId="3" xfId="0" quotePrefix="1" applyNumberFormat="1" applyFont="1" applyFill="1" applyBorder="1" applyAlignment="1">
      <alignment horizontal="center"/>
    </xf>
    <xf numFmtId="1" fontId="13" fillId="4" borderId="1" xfId="0" applyNumberFormat="1" applyFont="1" applyFill="1" applyBorder="1" applyAlignment="1">
      <alignment horizontal="center" vertical="center" wrapText="1"/>
    </xf>
    <xf numFmtId="1" fontId="36" fillId="4" borderId="1" xfId="0" applyNumberFormat="1" applyFont="1" applyFill="1" applyBorder="1" applyAlignment="1">
      <alignment vertical="center"/>
    </xf>
    <xf numFmtId="1" fontId="13" fillId="4" borderId="3" xfId="0" applyNumberFormat="1" applyFont="1" applyFill="1" applyBorder="1" applyAlignment="1">
      <alignment horizontal="center" vertical="center"/>
    </xf>
    <xf numFmtId="1" fontId="29" fillId="4" borderId="3" xfId="0" applyNumberFormat="1" applyFont="1" applyFill="1" applyBorder="1" applyAlignment="1">
      <alignment horizontal="center"/>
    </xf>
    <xf numFmtId="1" fontId="12" fillId="4" borderId="3" xfId="0" applyNumberFormat="1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left" vertical="center"/>
    </xf>
    <xf numFmtId="0" fontId="28" fillId="4" borderId="2" xfId="0" applyFont="1" applyFill="1" applyBorder="1" applyAlignment="1">
      <alignment horizontal="center" vertical="center"/>
    </xf>
    <xf numFmtId="1" fontId="38" fillId="4" borderId="3" xfId="0" applyNumberFormat="1" applyFont="1" applyFill="1" applyBorder="1" applyAlignment="1">
      <alignment horizontal="center"/>
    </xf>
    <xf numFmtId="1" fontId="34" fillId="4" borderId="3" xfId="0" applyNumberFormat="1" applyFont="1" applyFill="1" applyBorder="1" applyAlignment="1">
      <alignment horizontal="center" vertical="center" wrapText="1"/>
    </xf>
    <xf numFmtId="1" fontId="29" fillId="4" borderId="3" xfId="0" applyNumberFormat="1" applyFont="1" applyFill="1" applyBorder="1" applyAlignment="1">
      <alignment horizontal="center"/>
    </xf>
    <xf numFmtId="1" fontId="27" fillId="4" borderId="3" xfId="0" applyNumberFormat="1" applyFont="1" applyFill="1" applyBorder="1" applyAlignment="1">
      <alignment horizontal="center" vertical="center" wrapText="1"/>
    </xf>
    <xf numFmtId="1" fontId="38" fillId="4" borderId="3" xfId="0" applyNumberFormat="1" applyFont="1" applyFill="1" applyBorder="1" applyAlignment="1">
      <alignment horizontal="center"/>
    </xf>
    <xf numFmtId="1" fontId="0" fillId="4" borderId="4" xfId="0" applyNumberFormat="1" applyFill="1" applyBorder="1" applyAlignment="1">
      <alignment horizontal="center"/>
    </xf>
    <xf numFmtId="1" fontId="0" fillId="4" borderId="3" xfId="0" applyNumberFormat="1" applyFill="1" applyBorder="1" applyAlignment="1">
      <alignment horizontal="center" wrapText="1"/>
    </xf>
    <xf numFmtId="1" fontId="0" fillId="4" borderId="4" xfId="0" applyNumberFormat="1" applyFill="1" applyBorder="1" applyAlignment="1">
      <alignment horizontal="center" wrapText="1"/>
    </xf>
    <xf numFmtId="1" fontId="38" fillId="4" borderId="3" xfId="0" applyNumberFormat="1" applyFont="1" applyFill="1" applyBorder="1" applyAlignment="1">
      <alignment horizontal="center"/>
    </xf>
    <xf numFmtId="1" fontId="11" fillId="4" borderId="1" xfId="0" applyNumberFormat="1" applyFont="1" applyFill="1" applyBorder="1" applyAlignment="1">
      <alignment horizontal="center" vertical="center" wrapText="1"/>
    </xf>
    <xf numFmtId="1" fontId="11" fillId="4" borderId="3" xfId="0" applyNumberFormat="1" applyFont="1" applyFill="1" applyBorder="1" applyAlignment="1">
      <alignment horizontal="center" vertical="center" wrapText="1"/>
    </xf>
    <xf numFmtId="1" fontId="19" fillId="4" borderId="3" xfId="0" applyNumberFormat="1" applyFont="1" applyFill="1" applyBorder="1" applyAlignment="1">
      <alignment horizontal="center" vertical="center" wrapText="1"/>
    </xf>
    <xf numFmtId="1" fontId="16" fillId="4" borderId="3" xfId="0" applyNumberFormat="1" applyFont="1" applyFill="1" applyBorder="1" applyAlignment="1">
      <alignment horizontal="center" vertical="center" wrapText="1"/>
    </xf>
    <xf numFmtId="1" fontId="17" fillId="4" borderId="3" xfId="0" applyNumberFormat="1" applyFont="1" applyFill="1" applyBorder="1" applyAlignment="1">
      <alignment horizontal="center" vertical="center" wrapText="1"/>
    </xf>
    <xf numFmtId="1" fontId="18" fillId="4" borderId="3" xfId="0" applyNumberFormat="1" applyFont="1" applyFill="1" applyBorder="1" applyAlignment="1">
      <alignment horizontal="center" vertical="center" wrapText="1"/>
    </xf>
    <xf numFmtId="1" fontId="20" fillId="4" borderId="3" xfId="0" applyNumberFormat="1" applyFont="1" applyFill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1" fontId="34" fillId="4" borderId="3" xfId="0" applyNumberFormat="1" applyFont="1" applyFill="1" applyBorder="1" applyAlignment="1">
      <alignment horizontal="center" vertical="center" wrapText="1"/>
    </xf>
    <xf numFmtId="1" fontId="29" fillId="4" borderId="3" xfId="0" applyNumberFormat="1" applyFont="1" applyFill="1" applyBorder="1" applyAlignment="1">
      <alignment horizontal="center"/>
    </xf>
    <xf numFmtId="1" fontId="38" fillId="4" borderId="3" xfId="0" applyNumberFormat="1" applyFont="1" applyFill="1" applyBorder="1" applyAlignment="1">
      <alignment horizontal="center"/>
    </xf>
    <xf numFmtId="1" fontId="0" fillId="4" borderId="4" xfId="0" applyNumberFormat="1" applyFill="1" applyBorder="1" applyAlignment="1">
      <alignment horizontal="center"/>
    </xf>
    <xf numFmtId="1" fontId="0" fillId="4" borderId="3" xfId="0" applyNumberFormat="1" applyFill="1" applyBorder="1" applyAlignment="1">
      <alignment horizontal="center" wrapText="1"/>
    </xf>
    <xf numFmtId="1" fontId="0" fillId="4" borderId="4" xfId="0" applyNumberFormat="1" applyFill="1" applyBorder="1" applyAlignment="1">
      <alignment horizontal="center" wrapText="1"/>
    </xf>
    <xf numFmtId="1" fontId="38" fillId="4" borderId="3" xfId="0" applyNumberFormat="1" applyFont="1" applyFill="1" applyBorder="1" applyAlignment="1">
      <alignment horizontal="center"/>
    </xf>
    <xf numFmtId="1" fontId="10" fillId="4" borderId="1" xfId="0" applyNumberFormat="1" applyFont="1" applyFill="1" applyBorder="1" applyAlignment="1">
      <alignment horizontal="center" vertical="center" wrapText="1"/>
    </xf>
    <xf numFmtId="1" fontId="27" fillId="4" borderId="1" xfId="0" applyNumberFormat="1" applyFont="1" applyFill="1" applyBorder="1" applyAlignment="1">
      <alignment horizontal="center"/>
    </xf>
    <xf numFmtId="1" fontId="34" fillId="4" borderId="3" xfId="0" applyNumberFormat="1" applyFont="1" applyFill="1" applyBorder="1" applyAlignment="1">
      <alignment horizontal="center" vertical="center" wrapText="1"/>
    </xf>
    <xf numFmtId="1" fontId="29" fillId="4" borderId="3" xfId="0" applyNumberFormat="1" applyFont="1" applyFill="1" applyBorder="1" applyAlignment="1">
      <alignment horizontal="center"/>
    </xf>
    <xf numFmtId="1" fontId="38" fillId="4" borderId="3" xfId="0" applyNumberFormat="1" applyFont="1" applyFill="1" applyBorder="1" applyAlignment="1">
      <alignment horizontal="center"/>
    </xf>
    <xf numFmtId="1" fontId="0" fillId="4" borderId="4" xfId="0" applyNumberFormat="1" applyFill="1" applyBorder="1" applyAlignment="1">
      <alignment horizontal="center"/>
    </xf>
    <xf numFmtId="1" fontId="0" fillId="4" borderId="3" xfId="0" applyNumberFormat="1" applyFill="1" applyBorder="1" applyAlignment="1">
      <alignment horizontal="center" wrapText="1"/>
    </xf>
    <xf numFmtId="1" fontId="0" fillId="4" borderId="4" xfId="0" applyNumberFormat="1" applyFill="1" applyBorder="1" applyAlignment="1">
      <alignment horizontal="center" wrapText="1"/>
    </xf>
    <xf numFmtId="1" fontId="0" fillId="4" borderId="3" xfId="0" applyNumberForma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>
      <alignment horizontal="center" vertical="center" wrapText="1"/>
    </xf>
    <xf numFmtId="1" fontId="34" fillId="4" borderId="3" xfId="0" applyNumberFormat="1" applyFont="1" applyFill="1" applyBorder="1" applyAlignment="1">
      <alignment horizontal="center" vertical="center" wrapText="1"/>
    </xf>
    <xf numFmtId="1" fontId="29" fillId="4" borderId="3" xfId="0" applyNumberFormat="1" applyFont="1" applyFill="1" applyBorder="1" applyAlignment="1">
      <alignment horizontal="center"/>
    </xf>
    <xf numFmtId="1" fontId="38" fillId="4" borderId="3" xfId="0" applyNumberFormat="1" applyFont="1" applyFill="1" applyBorder="1" applyAlignment="1">
      <alignment horizontal="center"/>
    </xf>
    <xf numFmtId="1" fontId="0" fillId="4" borderId="4" xfId="0" applyNumberFormat="1" applyFill="1" applyBorder="1" applyAlignment="1">
      <alignment horizontal="center"/>
    </xf>
    <xf numFmtId="1" fontId="0" fillId="4" borderId="3" xfId="0" applyNumberFormat="1" applyFill="1" applyBorder="1" applyAlignment="1">
      <alignment horizontal="center" wrapText="1"/>
    </xf>
    <xf numFmtId="1" fontId="0" fillId="4" borderId="4" xfId="0" applyNumberFormat="1" applyFill="1" applyBorder="1" applyAlignment="1">
      <alignment horizontal="center" wrapText="1"/>
    </xf>
    <xf numFmtId="1" fontId="0" fillId="4" borderId="3" xfId="0" applyNumberForma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1" fontId="42" fillId="0" borderId="1" xfId="0" applyNumberFormat="1" applyFont="1" applyBorder="1" applyAlignment="1">
      <alignment horizontal="left"/>
    </xf>
    <xf numFmtId="1" fontId="21" fillId="4" borderId="1" xfId="0" applyNumberFormat="1" applyFont="1" applyFill="1" applyBorder="1" applyAlignment="1">
      <alignment horizontal="center"/>
    </xf>
    <xf numFmtId="1" fontId="29" fillId="4" borderId="2" xfId="0" applyNumberFormat="1" applyFont="1" applyFill="1" applyBorder="1" applyAlignment="1"/>
    <xf numFmtId="1" fontId="29" fillId="0" borderId="2" xfId="0" applyNumberFormat="1" applyFont="1" applyBorder="1" applyAlignment="1"/>
    <xf numFmtId="1" fontId="0" fillId="4" borderId="6" xfId="0" applyNumberFormat="1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1" fontId="29" fillId="4" borderId="3" xfId="0" applyNumberFormat="1" applyFont="1" applyFill="1" applyBorder="1" applyAlignment="1">
      <alignment horizontal="center"/>
    </xf>
    <xf numFmtId="1" fontId="27" fillId="4" borderId="4" xfId="0" applyNumberFormat="1" applyFont="1" applyFill="1" applyBorder="1" applyAlignment="1">
      <alignment horizontal="center" vertical="center" wrapText="1"/>
    </xf>
    <xf numFmtId="1" fontId="38" fillId="4" borderId="3" xfId="0" applyNumberFormat="1" applyFont="1" applyFill="1" applyBorder="1" applyAlignment="1">
      <alignment horizontal="center"/>
    </xf>
    <xf numFmtId="1" fontId="0" fillId="4" borderId="4" xfId="0" applyNumberFormat="1" applyFill="1" applyBorder="1" applyAlignment="1">
      <alignment horizontal="center" wrapText="1"/>
    </xf>
    <xf numFmtId="1" fontId="0" fillId="4" borderId="3" xfId="0" applyNumberFormat="1" applyFill="1" applyBorder="1" applyAlignment="1">
      <alignment horizontal="center" vertical="center" wrapText="1"/>
    </xf>
    <xf numFmtId="1" fontId="0" fillId="4" borderId="4" xfId="0" applyNumberFormat="1" applyFill="1" applyBorder="1" applyAlignment="1">
      <alignment horizontal="center" vertical="center" wrapText="1"/>
    </xf>
    <xf numFmtId="1" fontId="38" fillId="4" borderId="4" xfId="0" applyNumberFormat="1" applyFont="1" applyFill="1" applyBorder="1" applyAlignment="1">
      <alignment horizontal="center"/>
    </xf>
    <xf numFmtId="1" fontId="34" fillId="4" borderId="4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21" fillId="4" borderId="4" xfId="0" applyNumberFormat="1" applyFont="1" applyFill="1" applyBorder="1" applyAlignment="1">
      <alignment horizontal="center" wrapText="1"/>
    </xf>
    <xf numFmtId="1" fontId="0" fillId="4" borderId="1" xfId="0" applyNumberFormat="1" applyFill="1" applyBorder="1" applyAlignment="1">
      <alignment horizontal="left"/>
    </xf>
    <xf numFmtId="1" fontId="30" fillId="4" borderId="1" xfId="0" applyNumberFormat="1" applyFont="1" applyFill="1" applyBorder="1" applyAlignment="1">
      <alignment horizontal="center"/>
    </xf>
    <xf numFmtId="1" fontId="13" fillId="4" borderId="4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1" fontId="29" fillId="4" borderId="3" xfId="0" applyNumberFormat="1" applyFont="1" applyFill="1" applyBorder="1" applyAlignment="1">
      <alignment horizontal="center"/>
    </xf>
    <xf numFmtId="1" fontId="38" fillId="4" borderId="3" xfId="0" applyNumberFormat="1" applyFont="1" applyFill="1" applyBorder="1" applyAlignment="1">
      <alignment horizontal="center"/>
    </xf>
    <xf numFmtId="1" fontId="0" fillId="4" borderId="3" xfId="0" applyNumberFormat="1" applyFill="1" applyBorder="1" applyAlignment="1">
      <alignment horizontal="center" vertical="center" wrapText="1"/>
    </xf>
    <xf numFmtId="1" fontId="29" fillId="4" borderId="3" xfId="0" applyNumberFormat="1" applyFont="1" applyFill="1" applyBorder="1" applyAlignment="1">
      <alignment horizontal="center"/>
    </xf>
    <xf numFmtId="1" fontId="38" fillId="4" borderId="3" xfId="0" applyNumberFormat="1" applyFont="1" applyFill="1" applyBorder="1" applyAlignment="1">
      <alignment horizontal="center"/>
    </xf>
    <xf numFmtId="1" fontId="0" fillId="4" borderId="3" xfId="0" applyNumberForma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" fontId="30" fillId="4" borderId="3" xfId="0" applyNumberFormat="1" applyFont="1" applyFill="1" applyBorder="1" applyAlignment="1">
      <alignment horizontal="center"/>
    </xf>
    <xf numFmtId="1" fontId="38" fillId="5" borderId="1" xfId="0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center" vertical="center" wrapText="1"/>
    </xf>
    <xf numFmtId="1" fontId="0" fillId="6" borderId="3" xfId="0" applyNumberFormat="1" applyFill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34" fillId="4" borderId="3" xfId="0" applyNumberFormat="1" applyFont="1" applyFill="1" applyBorder="1" applyAlignment="1">
      <alignment horizontal="center" vertical="center" wrapText="1"/>
    </xf>
    <xf numFmtId="1" fontId="30" fillId="4" borderId="3" xfId="0" applyNumberFormat="1" applyFont="1" applyFill="1" applyBorder="1" applyAlignment="1">
      <alignment horizontal="center"/>
    </xf>
    <xf numFmtId="1" fontId="38" fillId="4" borderId="3" xfId="0" applyNumberFormat="1" applyFont="1" applyFill="1" applyBorder="1" applyAlignment="1">
      <alignment horizontal="center"/>
    </xf>
    <xf numFmtId="1" fontId="0" fillId="4" borderId="3" xfId="0" applyNumberFormat="1" applyFill="1" applyBorder="1" applyAlignment="1">
      <alignment horizontal="center" wrapText="1"/>
    </xf>
    <xf numFmtId="1" fontId="0" fillId="4" borderId="3" xfId="0" applyNumberFormat="1" applyFill="1" applyBorder="1" applyAlignment="1">
      <alignment horizontal="center" vertical="center" wrapText="1"/>
    </xf>
    <xf numFmtId="1" fontId="34" fillId="4" borderId="3" xfId="0" applyNumberFormat="1" applyFont="1" applyFill="1" applyBorder="1" applyAlignment="1">
      <alignment horizontal="center" vertical="center" wrapText="1"/>
    </xf>
    <xf numFmtId="1" fontId="30" fillId="4" borderId="3" xfId="0" applyNumberFormat="1" applyFont="1" applyFill="1" applyBorder="1" applyAlignment="1">
      <alignment horizontal="center"/>
    </xf>
    <xf numFmtId="1" fontId="38" fillId="4" borderId="3" xfId="0" applyNumberFormat="1" applyFont="1" applyFill="1" applyBorder="1" applyAlignment="1">
      <alignment horizontal="center"/>
    </xf>
    <xf numFmtId="1" fontId="0" fillId="4" borderId="3" xfId="0" applyNumberFormat="1" applyFill="1" applyBorder="1" applyAlignment="1">
      <alignment horizontal="center" wrapText="1"/>
    </xf>
    <xf numFmtId="1" fontId="0" fillId="4" borderId="3" xfId="0" applyNumberForma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1" fontId="5" fillId="4" borderId="3" xfId="0" applyNumberFormat="1" applyFont="1" applyFill="1" applyBorder="1" applyAlignment="1">
      <alignment horizontal="center"/>
    </xf>
    <xf numFmtId="1" fontId="30" fillId="4" borderId="3" xfId="0" applyNumberFormat="1" applyFont="1" applyFill="1" applyBorder="1" applyAlignment="1">
      <alignment horizontal="center"/>
    </xf>
    <xf numFmtId="1" fontId="38" fillId="4" borderId="3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 vertical="center" wrapText="1"/>
    </xf>
    <xf numFmtId="1" fontId="30" fillId="4" borderId="3" xfId="0" applyNumberFormat="1" applyFont="1" applyFill="1" applyBorder="1" applyAlignment="1">
      <alignment horizontal="center"/>
    </xf>
    <xf numFmtId="1" fontId="29" fillId="4" borderId="3" xfId="0" applyNumberFormat="1" applyFont="1" applyFill="1" applyBorder="1" applyAlignment="1">
      <alignment horizontal="center"/>
    </xf>
    <xf numFmtId="1" fontId="38" fillId="4" borderId="3" xfId="0" applyNumberFormat="1" applyFont="1" applyFill="1" applyBorder="1" applyAlignment="1">
      <alignment horizontal="center"/>
    </xf>
    <xf numFmtId="1" fontId="0" fillId="4" borderId="3" xfId="0" applyNumberFormat="1" applyFill="1" applyBorder="1" applyAlignment="1">
      <alignment horizontal="center" vertical="center" wrapText="1"/>
    </xf>
    <xf numFmtId="1" fontId="34" fillId="4" borderId="3" xfId="0" applyNumberFormat="1" applyFont="1" applyFill="1" applyBorder="1" applyAlignment="1">
      <alignment horizontal="center" vertical="center" wrapText="1"/>
    </xf>
    <xf numFmtId="1" fontId="30" fillId="4" borderId="3" xfId="0" applyNumberFormat="1" applyFont="1" applyFill="1" applyBorder="1" applyAlignment="1">
      <alignment horizontal="center"/>
    </xf>
    <xf numFmtId="1" fontId="29" fillId="4" borderId="3" xfId="0" applyNumberFormat="1" applyFont="1" applyFill="1" applyBorder="1" applyAlignment="1">
      <alignment horizontal="center"/>
    </xf>
    <xf numFmtId="1" fontId="38" fillId="4" borderId="3" xfId="0" applyNumberFormat="1" applyFont="1" applyFill="1" applyBorder="1" applyAlignment="1">
      <alignment horizontal="center"/>
    </xf>
    <xf numFmtId="1" fontId="0" fillId="4" borderId="3" xfId="0" applyNumberFormat="1" applyFill="1" applyBorder="1" applyAlignment="1">
      <alignment horizontal="center" wrapText="1"/>
    </xf>
    <xf numFmtId="1" fontId="0" fillId="4" borderId="3" xfId="0" applyNumberFormat="1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left"/>
    </xf>
    <xf numFmtId="1" fontId="30" fillId="4" borderId="3" xfId="0" applyNumberFormat="1" applyFont="1" applyFill="1" applyBorder="1" applyAlignment="1">
      <alignment horizontal="center"/>
    </xf>
    <xf numFmtId="1" fontId="30" fillId="4" borderId="2" xfId="0" applyNumberFormat="1" applyFont="1" applyFill="1" applyBorder="1" applyAlignment="1">
      <alignment horizontal="center"/>
    </xf>
    <xf numFmtId="1" fontId="38" fillId="4" borderId="3" xfId="0" applyNumberFormat="1" applyFont="1" applyFill="1" applyBorder="1" applyAlignment="1">
      <alignment horizontal="center"/>
    </xf>
    <xf numFmtId="1" fontId="29" fillId="4" borderId="3" xfId="0" applyNumberFormat="1" applyFont="1" applyFill="1" applyBorder="1" applyAlignment="1">
      <alignment horizontal="center" vertical="center"/>
    </xf>
    <xf numFmtId="1" fontId="0" fillId="4" borderId="3" xfId="0" applyNumberForma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1" fontId="36" fillId="4" borderId="6" xfId="0" applyNumberFormat="1" applyFont="1" applyFill="1" applyBorder="1" applyAlignment="1">
      <alignment horizontal="center"/>
    </xf>
    <xf numFmtId="1" fontId="36" fillId="4" borderId="8" xfId="0" applyNumberFormat="1" applyFont="1" applyFill="1" applyBorder="1" applyAlignment="1">
      <alignment horizontal="center"/>
    </xf>
    <xf numFmtId="1" fontId="38" fillId="5" borderId="3" xfId="0" applyNumberFormat="1" applyFont="1" applyFill="1" applyBorder="1" applyAlignment="1">
      <alignment horizontal="center" vertical="center" wrapText="1"/>
    </xf>
    <xf numFmtId="1" fontId="30" fillId="4" borderId="4" xfId="0" applyNumberFormat="1" applyFont="1" applyFill="1" applyBorder="1" applyAlignment="1">
      <alignment horizontal="center"/>
    </xf>
    <xf numFmtId="1" fontId="30" fillId="4" borderId="3" xfId="0" applyNumberFormat="1" applyFont="1" applyFill="1" applyBorder="1" applyAlignment="1">
      <alignment horizontal="center"/>
    </xf>
    <xf numFmtId="1" fontId="30" fillId="4" borderId="2" xfId="0" applyNumberFormat="1" applyFont="1" applyFill="1" applyBorder="1" applyAlignment="1">
      <alignment horizontal="center"/>
    </xf>
    <xf numFmtId="1" fontId="29" fillId="4" borderId="3" xfId="0" applyNumberFormat="1" applyFont="1" applyFill="1" applyBorder="1" applyAlignment="1">
      <alignment horizontal="center"/>
    </xf>
    <xf numFmtId="1" fontId="38" fillId="4" borderId="3" xfId="0" applyNumberFormat="1" applyFont="1" applyFill="1" applyBorder="1" applyAlignment="1">
      <alignment horizontal="center"/>
    </xf>
    <xf numFmtId="1" fontId="0" fillId="4" borderId="3" xfId="0" applyNumberFormat="1" applyFill="1" applyBorder="1" applyAlignment="1">
      <alignment horizontal="center" wrapText="1"/>
    </xf>
    <xf numFmtId="1" fontId="0" fillId="4" borderId="3" xfId="0" applyNumberForma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30" fillId="4" borderId="3" xfId="0" applyNumberFormat="1" applyFont="1" applyFill="1" applyBorder="1" applyAlignment="1">
      <alignment horizontal="center"/>
    </xf>
    <xf numFmtId="1" fontId="38" fillId="4" borderId="3" xfId="0" applyNumberFormat="1" applyFont="1" applyFill="1" applyBorder="1" applyAlignment="1">
      <alignment horizontal="center"/>
    </xf>
    <xf numFmtId="1" fontId="0" fillId="4" borderId="3" xfId="0" applyNumberFormat="1" applyFill="1" applyBorder="1" applyAlignment="1">
      <alignment horizontal="center" vertical="center" wrapText="1"/>
    </xf>
    <xf numFmtId="1" fontId="30" fillId="4" borderId="3" xfId="0" applyNumberFormat="1" applyFont="1" applyFill="1" applyBorder="1" applyAlignment="1">
      <alignment horizontal="center"/>
    </xf>
    <xf numFmtId="1" fontId="29" fillId="4" borderId="3" xfId="0" applyNumberFormat="1" applyFont="1" applyFill="1" applyBorder="1" applyAlignment="1">
      <alignment horizontal="center"/>
    </xf>
    <xf numFmtId="1" fontId="38" fillId="4" borderId="3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29" fillId="4" borderId="3" xfId="0" applyNumberFormat="1" applyFont="1" applyFill="1" applyBorder="1" applyAlignment="1">
      <alignment horizontal="center" vertical="center"/>
    </xf>
    <xf numFmtId="1" fontId="0" fillId="4" borderId="3" xfId="0" applyNumberForma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38" fillId="4" borderId="2" xfId="0" applyFont="1" applyFill="1" applyBorder="1" applyAlignment="1">
      <alignment horizontal="center" vertical="center"/>
    </xf>
    <xf numFmtId="1" fontId="0" fillId="0" borderId="4" xfId="0" applyNumberFormat="1" applyBorder="1" applyAlignment="1"/>
    <xf numFmtId="1" fontId="0" fillId="0" borderId="1" xfId="0" applyNumberFormat="1" applyFont="1" applyBorder="1" applyAlignment="1">
      <alignment horizontal="left" vertical="center"/>
    </xf>
    <xf numFmtId="1" fontId="0" fillId="0" borderId="4" xfId="0" applyNumberFormat="1" applyBorder="1" applyAlignment="1">
      <alignment horizontal="left" vertical="center"/>
    </xf>
    <xf numFmtId="1" fontId="32" fillId="0" borderId="5" xfId="0" applyNumberFormat="1" applyFont="1" applyBorder="1" applyAlignment="1">
      <alignment horizontal="center"/>
    </xf>
    <xf numFmtId="1" fontId="32" fillId="0" borderId="6" xfId="0" applyNumberFormat="1" applyFont="1" applyBorder="1" applyAlignment="1">
      <alignment horizontal="center"/>
    </xf>
    <xf numFmtId="1" fontId="32" fillId="0" borderId="7" xfId="0" applyNumberFormat="1" applyFont="1" applyBorder="1" applyAlignment="1">
      <alignment horizontal="center"/>
    </xf>
    <xf numFmtId="1" fontId="32" fillId="0" borderId="8" xfId="0" applyNumberFormat="1" applyFont="1" applyBorder="1" applyAlignment="1">
      <alignment horizontal="center"/>
    </xf>
    <xf numFmtId="1" fontId="34" fillId="4" borderId="3" xfId="0" applyNumberFormat="1" applyFont="1" applyFill="1" applyBorder="1" applyAlignment="1">
      <alignment horizontal="center" vertical="center" wrapText="1"/>
    </xf>
    <xf numFmtId="1" fontId="34" fillId="4" borderId="2" xfId="0" applyNumberFormat="1" applyFont="1" applyFill="1" applyBorder="1" applyAlignment="1">
      <alignment horizontal="center" vertical="center" wrapText="1"/>
    </xf>
    <xf numFmtId="1" fontId="30" fillId="4" borderId="3" xfId="0" applyNumberFormat="1" applyFont="1" applyFill="1" applyBorder="1" applyAlignment="1">
      <alignment horizontal="center"/>
    </xf>
    <xf numFmtId="1" fontId="30" fillId="4" borderId="2" xfId="0" applyNumberFormat="1" applyFont="1" applyFill="1" applyBorder="1" applyAlignment="1">
      <alignment horizontal="center"/>
    </xf>
    <xf numFmtId="1" fontId="29" fillId="4" borderId="3" xfId="0" applyNumberFormat="1" applyFont="1" applyFill="1" applyBorder="1" applyAlignment="1">
      <alignment horizontal="center"/>
    </xf>
    <xf numFmtId="1" fontId="29" fillId="4" borderId="4" xfId="0" applyNumberFormat="1" applyFont="1" applyFill="1" applyBorder="1" applyAlignment="1">
      <alignment horizontal="center"/>
    </xf>
    <xf numFmtId="1" fontId="29" fillId="4" borderId="2" xfId="0" applyNumberFormat="1" applyFont="1" applyFill="1" applyBorder="1" applyAlignment="1">
      <alignment horizontal="center"/>
    </xf>
    <xf numFmtId="1" fontId="29" fillId="4" borderId="1" xfId="0" applyNumberFormat="1" applyFont="1" applyFill="1" applyBorder="1" applyAlignment="1">
      <alignment horizontal="center"/>
    </xf>
    <xf numFmtId="1" fontId="27" fillId="4" borderId="3" xfId="0" applyNumberFormat="1" applyFont="1" applyFill="1" applyBorder="1" applyAlignment="1">
      <alignment horizontal="center" vertical="center" wrapText="1"/>
    </xf>
    <xf numFmtId="1" fontId="27" fillId="4" borderId="4" xfId="0" applyNumberFormat="1" applyFont="1" applyFill="1" applyBorder="1" applyAlignment="1">
      <alignment horizontal="center" vertical="center" wrapText="1"/>
    </xf>
    <xf numFmtId="1" fontId="27" fillId="4" borderId="2" xfId="0" applyNumberFormat="1" applyFont="1" applyFill="1" applyBorder="1" applyAlignment="1">
      <alignment horizontal="center" vertical="center" wrapText="1"/>
    </xf>
    <xf numFmtId="1" fontId="30" fillId="4" borderId="4" xfId="0" applyNumberFormat="1" applyFont="1" applyFill="1" applyBorder="1" applyAlignment="1">
      <alignment horizontal="center"/>
    </xf>
    <xf numFmtId="1" fontId="38" fillId="4" borderId="3" xfId="0" applyNumberFormat="1" applyFont="1" applyFill="1" applyBorder="1" applyAlignment="1">
      <alignment horizontal="center"/>
    </xf>
    <xf numFmtId="1" fontId="38" fillId="4" borderId="4" xfId="0" applyNumberFormat="1" applyFont="1" applyFill="1" applyBorder="1" applyAlignment="1">
      <alignment horizontal="center"/>
    </xf>
    <xf numFmtId="1" fontId="38" fillId="4" borderId="2" xfId="0" applyNumberFormat="1" applyFont="1" applyFill="1" applyBorder="1" applyAlignment="1">
      <alignment horizontal="center"/>
    </xf>
    <xf numFmtId="1" fontId="32" fillId="0" borderId="9" xfId="0" applyNumberFormat="1" applyFont="1" applyBorder="1" applyAlignment="1">
      <alignment horizontal="center"/>
    </xf>
    <xf numFmtId="1" fontId="32" fillId="0" borderId="10" xfId="0" applyNumberFormat="1" applyFont="1" applyBorder="1" applyAlignment="1">
      <alignment horizontal="center"/>
    </xf>
    <xf numFmtId="1" fontId="21" fillId="4" borderId="3" xfId="0" applyNumberFormat="1" applyFont="1" applyFill="1" applyBorder="1" applyAlignment="1">
      <alignment horizontal="center" wrapText="1"/>
    </xf>
    <xf numFmtId="1" fontId="21" fillId="4" borderId="2" xfId="0" applyNumberFormat="1" applyFont="1" applyFill="1" applyBorder="1" applyAlignment="1">
      <alignment horizontal="center" wrapText="1"/>
    </xf>
    <xf numFmtId="1" fontId="29" fillId="0" borderId="3" xfId="0" applyNumberFormat="1" applyFont="1" applyBorder="1" applyAlignment="1">
      <alignment horizontal="center"/>
    </xf>
    <xf numFmtId="1" fontId="29" fillId="0" borderId="4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4" borderId="4" xfId="0" applyNumberFormat="1" applyFill="1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1" fontId="0" fillId="4" borderId="3" xfId="0" applyNumberFormat="1" applyFill="1" applyBorder="1" applyAlignment="1">
      <alignment horizontal="center" wrapText="1"/>
    </xf>
    <xf numFmtId="1" fontId="0" fillId="4" borderId="4" xfId="0" applyNumberFormat="1" applyFill="1" applyBorder="1" applyAlignment="1">
      <alignment horizontal="center" wrapText="1"/>
    </xf>
    <xf numFmtId="1" fontId="0" fillId="4" borderId="2" xfId="0" applyNumberFormat="1" applyFill="1" applyBorder="1" applyAlignment="1">
      <alignment horizontal="center" wrapText="1"/>
    </xf>
    <xf numFmtId="1" fontId="29" fillId="4" borderId="3" xfId="0" applyNumberFormat="1" applyFont="1" applyFill="1" applyBorder="1" applyAlignment="1">
      <alignment horizontal="center" vertical="center"/>
    </xf>
    <xf numFmtId="1" fontId="29" fillId="4" borderId="4" xfId="0" applyNumberFormat="1" applyFont="1" applyFill="1" applyBorder="1" applyAlignment="1">
      <alignment horizontal="center" vertical="center"/>
    </xf>
    <xf numFmtId="1" fontId="29" fillId="4" borderId="2" xfId="0" applyNumberFormat="1" applyFont="1" applyFill="1" applyBorder="1" applyAlignment="1">
      <alignment horizontal="center" vertical="center"/>
    </xf>
    <xf numFmtId="1" fontId="29" fillId="0" borderId="3" xfId="0" applyNumberFormat="1" applyFont="1" applyBorder="1" applyAlignment="1">
      <alignment horizontal="center" vertical="center"/>
    </xf>
    <xf numFmtId="1" fontId="29" fillId="0" borderId="4" xfId="0" applyNumberFormat="1" applyFont="1" applyBorder="1" applyAlignment="1">
      <alignment horizontal="center" vertical="center"/>
    </xf>
    <xf numFmtId="1" fontId="29" fillId="0" borderId="2" xfId="0" applyNumberFormat="1" applyFont="1" applyBorder="1" applyAlignment="1">
      <alignment horizontal="center" vertical="center"/>
    </xf>
    <xf numFmtId="1" fontId="0" fillId="4" borderId="4" xfId="0" applyNumberFormat="1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/>
    </xf>
    <xf numFmtId="1" fontId="32" fillId="0" borderId="5" xfId="0" applyNumberFormat="1" applyFont="1" applyBorder="1" applyAlignment="1">
      <alignment horizontal="center" vertical="center"/>
    </xf>
    <xf numFmtId="1" fontId="32" fillId="0" borderId="6" xfId="0" applyNumberFormat="1" applyFont="1" applyBorder="1" applyAlignment="1">
      <alignment horizontal="center" vertical="center"/>
    </xf>
    <xf numFmtId="1" fontId="32" fillId="0" borderId="7" xfId="0" applyNumberFormat="1" applyFont="1" applyBorder="1" applyAlignment="1">
      <alignment horizontal="center" vertical="center"/>
    </xf>
    <xf numFmtId="1" fontId="32" fillId="0" borderId="8" xfId="0" applyNumberFormat="1" applyFont="1" applyBorder="1" applyAlignment="1">
      <alignment horizontal="center" vertical="center"/>
    </xf>
    <xf numFmtId="1" fontId="13" fillId="4" borderId="3" xfId="0" applyNumberFormat="1" applyFont="1" applyFill="1" applyBorder="1" applyAlignment="1">
      <alignment horizontal="center" vertical="center" wrapText="1"/>
    </xf>
    <xf numFmtId="1" fontId="13" fillId="4" borderId="2" xfId="0" applyNumberFormat="1" applyFont="1" applyFill="1" applyBorder="1" applyAlignment="1">
      <alignment horizontal="center" vertical="center" wrapText="1"/>
    </xf>
    <xf numFmtId="1" fontId="0" fillId="4" borderId="3" xfId="0" applyNumberFormat="1" applyFill="1" applyBorder="1" applyAlignment="1">
      <alignment horizontal="center" vertical="center" wrapText="1"/>
    </xf>
    <xf numFmtId="1" fontId="0" fillId="4" borderId="4" xfId="0" applyNumberFormat="1" applyFill="1" applyBorder="1" applyAlignment="1">
      <alignment horizontal="center" vertical="center" wrapText="1"/>
    </xf>
    <xf numFmtId="1" fontId="0" fillId="4" borderId="2" xfId="0" applyNumberFormat="1" applyFill="1" applyBorder="1" applyAlignment="1">
      <alignment horizontal="center" vertical="center" wrapText="1"/>
    </xf>
  </cellXfs>
  <cellStyles count="3">
    <cellStyle name="Normal" xfId="0" builtinId="0"/>
    <cellStyle name="Normal_Reitings 2 2004" xfId="2" xr:uid="{00000000-0005-0000-0000-000001000000}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56"/>
  <sheetViews>
    <sheetView tabSelected="1" zoomScaleNormal="100" workbookViewId="0">
      <pane xSplit="4" ySplit="4" topLeftCell="E23" activePane="bottomRight" state="frozen"/>
      <selection pane="topRight" activeCell="E1" sqref="E1"/>
      <selection pane="bottomLeft" activeCell="A3" sqref="A3"/>
      <selection pane="bottomRight" activeCell="E75" sqref="E75"/>
    </sheetView>
  </sheetViews>
  <sheetFormatPr defaultRowHeight="15" x14ac:dyDescent="0.25"/>
  <cols>
    <col min="1" max="1" width="22.85546875" style="11" bestFit="1" customWidth="1"/>
    <col min="2" max="2" width="21.85546875" style="11" bestFit="1" customWidth="1"/>
    <col min="3" max="3" width="8.140625" style="3" bestFit="1" customWidth="1"/>
    <col min="4" max="4" width="12" style="47" bestFit="1" customWidth="1"/>
    <col min="5" max="5" width="12.28515625" style="283" customWidth="1"/>
    <col min="6" max="6" width="12.28515625" style="278" customWidth="1"/>
    <col min="7" max="7" width="12.28515625" style="120" customWidth="1"/>
    <col min="8" max="8" width="2.7109375" style="13" customWidth="1"/>
    <col min="9" max="9" width="12.28515625" style="261" customWidth="1"/>
    <col min="10" max="10" width="12.28515625" style="246" customWidth="1"/>
    <col min="11" max="11" width="12.28515625" style="241" customWidth="1"/>
    <col min="12" max="12" width="12.28515625" style="228" customWidth="1"/>
    <col min="13" max="13" width="12.28515625" style="215" customWidth="1"/>
    <col min="14" max="14" width="12.28515625" style="278" customWidth="1"/>
    <col min="15" max="15" width="11" style="215" customWidth="1"/>
    <col min="16" max="17" width="9.140625" style="3"/>
    <col min="18" max="18" width="2.85546875" style="215" customWidth="1"/>
    <col min="19" max="25" width="12.85546875" style="101" customWidth="1"/>
    <col min="26" max="26" width="11.140625" style="101" customWidth="1"/>
    <col min="27" max="28" width="9.140625" style="3"/>
    <col min="29" max="29" width="3.85546875" style="101" customWidth="1"/>
    <col min="30" max="30" width="12.85546875" style="101" customWidth="1"/>
    <col min="31" max="35" width="11.140625" style="101" customWidth="1"/>
    <col min="36" max="37" width="9.140625" style="3"/>
    <col min="38" max="38" width="3.85546875" style="101" customWidth="1"/>
    <col min="39" max="39" width="8.85546875" style="41" customWidth="1"/>
    <col min="40" max="40" width="11" style="41" customWidth="1"/>
    <col min="41" max="44" width="9.5703125" style="41" customWidth="1"/>
    <col min="45" max="45" width="8.85546875" style="13" customWidth="1"/>
    <col min="46" max="46" width="10.85546875" style="3" customWidth="1"/>
    <col min="47" max="16384" width="9.140625" style="3"/>
  </cols>
  <sheetData>
    <row r="1" spans="1:48" ht="15" customHeight="1" x14ac:dyDescent="0.5">
      <c r="A1" s="296" t="s">
        <v>35</v>
      </c>
      <c r="B1" s="297"/>
      <c r="C1" s="40"/>
      <c r="D1" s="48"/>
      <c r="E1" s="271"/>
      <c r="F1" s="271"/>
      <c r="G1" s="102"/>
      <c r="H1" s="211"/>
      <c r="I1" s="102"/>
      <c r="J1" s="102"/>
      <c r="K1" s="102"/>
      <c r="L1" s="102"/>
      <c r="M1" s="102"/>
      <c r="N1" s="102"/>
      <c r="O1" s="102"/>
      <c r="R1" s="102"/>
      <c r="S1" s="109"/>
      <c r="T1" s="109"/>
      <c r="U1" s="109"/>
      <c r="V1" s="109"/>
      <c r="W1" s="109"/>
      <c r="X1" s="109"/>
      <c r="Y1" s="109"/>
      <c r="Z1" s="109"/>
      <c r="AC1" s="109"/>
      <c r="AD1" s="109"/>
      <c r="AE1" s="109"/>
      <c r="AF1" s="109"/>
      <c r="AG1" s="109"/>
      <c r="AH1" s="109"/>
      <c r="AI1" s="109"/>
      <c r="AL1" s="109"/>
      <c r="AM1" s="43"/>
      <c r="AN1" s="43"/>
      <c r="AO1" s="43"/>
      <c r="AP1" s="43"/>
      <c r="AQ1" s="43"/>
      <c r="AR1" s="43"/>
      <c r="AS1" s="39"/>
    </row>
    <row r="2" spans="1:48" ht="15" customHeight="1" x14ac:dyDescent="0.5">
      <c r="A2" s="298"/>
      <c r="B2" s="299"/>
      <c r="C2" s="40"/>
      <c r="D2" s="48"/>
      <c r="E2" s="272"/>
      <c r="F2" s="272"/>
      <c r="G2" s="103"/>
      <c r="H2" s="212"/>
      <c r="I2" s="103"/>
      <c r="J2" s="103"/>
      <c r="K2" s="103"/>
      <c r="L2" s="103"/>
      <c r="M2" s="103"/>
      <c r="N2" s="103"/>
      <c r="O2" s="103"/>
      <c r="R2" s="103"/>
      <c r="S2" s="109"/>
      <c r="T2" s="109"/>
      <c r="U2" s="109"/>
      <c r="V2" s="109"/>
      <c r="W2" s="109"/>
      <c r="X2" s="109"/>
      <c r="Y2" s="109"/>
      <c r="Z2" s="109"/>
      <c r="AC2" s="109"/>
      <c r="AD2" s="109"/>
      <c r="AE2" s="109"/>
      <c r="AF2" s="109"/>
      <c r="AG2" s="109"/>
      <c r="AH2" s="109"/>
      <c r="AI2" s="109"/>
      <c r="AL2" s="109"/>
      <c r="AM2" s="43"/>
      <c r="AN2" s="43"/>
      <c r="AO2" s="43"/>
      <c r="AP2" s="43"/>
      <c r="AQ2" s="43"/>
      <c r="AR2" s="43"/>
      <c r="AS2" s="39"/>
    </row>
    <row r="3" spans="1:48" s="5" customFormat="1" x14ac:dyDescent="0.25">
      <c r="A3" s="10"/>
      <c r="B3" s="10"/>
      <c r="D3" s="42"/>
      <c r="E3" s="282"/>
      <c r="F3" s="275"/>
      <c r="G3" s="275"/>
      <c r="H3" s="279"/>
      <c r="I3" s="258"/>
      <c r="J3" s="244"/>
      <c r="K3" s="239"/>
      <c r="L3" s="302">
        <v>2025</v>
      </c>
      <c r="M3" s="303"/>
      <c r="N3" s="276"/>
      <c r="O3" s="215"/>
      <c r="P3" s="6"/>
      <c r="Q3" s="6"/>
      <c r="R3" s="36"/>
      <c r="S3" s="199"/>
      <c r="T3" s="190"/>
      <c r="U3" s="181"/>
      <c r="V3" s="165"/>
      <c r="W3" s="300">
        <v>2024</v>
      </c>
      <c r="X3" s="301"/>
      <c r="Y3" s="220"/>
      <c r="Z3" s="181"/>
      <c r="AA3" s="6"/>
      <c r="AB3" s="6"/>
      <c r="AC3" s="138"/>
      <c r="AD3" s="134"/>
      <c r="AE3" s="130"/>
      <c r="AF3" s="117"/>
      <c r="AG3" s="42">
        <v>2023</v>
      </c>
      <c r="AH3" s="42"/>
      <c r="AI3" s="42"/>
      <c r="AL3" s="42"/>
      <c r="AM3" s="300">
        <v>2022</v>
      </c>
      <c r="AN3" s="301"/>
      <c r="AO3" s="42"/>
      <c r="AP3" s="42"/>
      <c r="AQ3" s="42"/>
      <c r="AR3" s="42"/>
      <c r="AS3" s="33"/>
    </row>
    <row r="4" spans="1:48" s="5" customFormat="1" ht="107.25" customHeight="1" x14ac:dyDescent="0.25">
      <c r="A4" s="5" t="s">
        <v>1</v>
      </c>
      <c r="B4" s="10" t="s">
        <v>2</v>
      </c>
      <c r="C4" s="5" t="s">
        <v>3</v>
      </c>
      <c r="D4" s="49" t="s">
        <v>1399</v>
      </c>
      <c r="E4" s="281" t="s">
        <v>1398</v>
      </c>
      <c r="F4" s="281" t="s">
        <v>1363</v>
      </c>
      <c r="G4" s="273" t="s">
        <v>5</v>
      </c>
      <c r="H4" s="68"/>
      <c r="I4" s="270" t="s">
        <v>1285</v>
      </c>
      <c r="J4" s="253" t="s">
        <v>1260</v>
      </c>
      <c r="K4" s="249" t="s">
        <v>1208</v>
      </c>
      <c r="L4" s="233" t="s">
        <v>1078</v>
      </c>
      <c r="M4" s="226" t="s">
        <v>4</v>
      </c>
      <c r="N4" s="104" t="s">
        <v>543</v>
      </c>
      <c r="O4" s="119" t="s">
        <v>5</v>
      </c>
      <c r="P4" s="96" t="s">
        <v>1362</v>
      </c>
      <c r="Q4" s="97" t="s">
        <v>541</v>
      </c>
      <c r="R4" s="226"/>
      <c r="S4" s="206" t="s">
        <v>460</v>
      </c>
      <c r="T4" s="197" t="s">
        <v>390</v>
      </c>
      <c r="U4" s="173" t="s">
        <v>227</v>
      </c>
      <c r="V4" s="173" t="s">
        <v>870</v>
      </c>
      <c r="W4" s="127" t="s">
        <v>291</v>
      </c>
      <c r="X4" s="145" t="s">
        <v>4</v>
      </c>
      <c r="Y4" s="221" t="s">
        <v>543</v>
      </c>
      <c r="Z4" s="95" t="s">
        <v>5</v>
      </c>
      <c r="AA4" s="96" t="s">
        <v>1061</v>
      </c>
      <c r="AB4" s="97" t="s">
        <v>541</v>
      </c>
      <c r="AC4" s="138"/>
      <c r="AD4" s="137" t="s">
        <v>390</v>
      </c>
      <c r="AE4" s="133" t="s">
        <v>227</v>
      </c>
      <c r="AF4" s="127" t="s">
        <v>291</v>
      </c>
      <c r="AG4" s="116" t="s">
        <v>4</v>
      </c>
      <c r="AH4" s="105" t="s">
        <v>543</v>
      </c>
      <c r="AI4" s="95" t="s">
        <v>5</v>
      </c>
      <c r="AJ4" s="96" t="s">
        <v>754</v>
      </c>
      <c r="AK4" s="97" t="s">
        <v>541</v>
      </c>
      <c r="AL4" s="42"/>
      <c r="AM4" s="44" t="s">
        <v>4</v>
      </c>
      <c r="AN4" s="59" t="s">
        <v>62</v>
      </c>
      <c r="AO4" s="73" t="s">
        <v>227</v>
      </c>
      <c r="AP4" s="79" t="s">
        <v>291</v>
      </c>
      <c r="AQ4" s="81" t="s">
        <v>390</v>
      </c>
      <c r="AR4" s="93" t="s">
        <v>460</v>
      </c>
      <c r="AS4" s="33" t="s">
        <v>34</v>
      </c>
      <c r="AT4" s="95" t="s">
        <v>5</v>
      </c>
      <c r="AU4" s="96" t="s">
        <v>540</v>
      </c>
      <c r="AV4" s="97" t="s">
        <v>541</v>
      </c>
    </row>
    <row r="5" spans="1:48" s="5" customFormat="1" x14ac:dyDescent="0.25">
      <c r="A5" s="180" t="s">
        <v>876</v>
      </c>
      <c r="B5" s="10"/>
      <c r="D5" s="49"/>
      <c r="E5" s="283"/>
      <c r="F5" s="278"/>
      <c r="G5" s="120"/>
      <c r="H5" s="280"/>
      <c r="I5" s="261"/>
      <c r="J5" s="246"/>
      <c r="K5" s="241"/>
      <c r="L5" s="228"/>
      <c r="M5" s="215"/>
      <c r="N5" s="278"/>
      <c r="O5" s="120"/>
      <c r="P5" s="96"/>
      <c r="Q5" s="97"/>
      <c r="R5" s="215"/>
      <c r="S5" s="174"/>
      <c r="T5" s="174"/>
      <c r="U5" s="174"/>
      <c r="V5" s="174"/>
      <c r="W5" s="175"/>
      <c r="X5" s="176"/>
      <c r="Y5" s="176"/>
      <c r="Z5" s="155"/>
      <c r="AA5" s="96"/>
      <c r="AB5" s="97"/>
      <c r="AC5" s="165"/>
      <c r="AD5" s="177"/>
      <c r="AE5" s="178"/>
      <c r="AF5" s="175"/>
      <c r="AG5" s="179"/>
      <c r="AH5" s="111"/>
      <c r="AI5" s="155"/>
      <c r="AJ5" s="96"/>
      <c r="AK5" s="97"/>
      <c r="AL5" s="165"/>
      <c r="AM5" s="167"/>
      <c r="AN5" s="59"/>
      <c r="AO5" s="73"/>
      <c r="AP5" s="79"/>
      <c r="AQ5" s="81"/>
      <c r="AR5" s="93"/>
      <c r="AS5" s="33"/>
      <c r="AT5" s="95"/>
      <c r="AU5" s="96"/>
      <c r="AV5" s="97"/>
    </row>
    <row r="6" spans="1:48" x14ac:dyDescent="0.25">
      <c r="A6" s="45" t="s">
        <v>449</v>
      </c>
      <c r="B6" s="66" t="s">
        <v>404</v>
      </c>
      <c r="C6" s="46">
        <v>2018</v>
      </c>
      <c r="D6" s="47">
        <f>Q6+F6+E6</f>
        <v>0</v>
      </c>
      <c r="H6" s="280"/>
      <c r="M6" s="249"/>
      <c r="N6" s="278">
        <f>AB6</f>
        <v>0</v>
      </c>
      <c r="O6" s="120"/>
      <c r="P6" s="96">
        <f>I6+J6+K6+L6+M6+N6</f>
        <v>0</v>
      </c>
      <c r="Q6" s="97">
        <f t="shared" ref="Q6:Q39" si="0">IF(B6=2013, P6/3,P6)+O6</f>
        <v>0</v>
      </c>
      <c r="S6" s="108"/>
      <c r="T6" s="108"/>
      <c r="U6" s="108"/>
      <c r="V6" s="108"/>
      <c r="W6" s="108"/>
      <c r="X6" s="108"/>
      <c r="Y6" s="108">
        <f t="shared" ref="Y6:Y11" si="1">AK6</f>
        <v>0</v>
      </c>
      <c r="Z6" s="122"/>
      <c r="AA6" s="96">
        <f t="shared" ref="AA6:AA14" si="2">S6+T6+U6+V6+W6+X6+Y6</f>
        <v>0</v>
      </c>
      <c r="AB6" s="97">
        <f t="shared" ref="AB6:AB14" si="3">IF(C6=2017, AA6/3,AA6)+Z6</f>
        <v>0</v>
      </c>
      <c r="AD6" s="108"/>
      <c r="AE6" s="108"/>
      <c r="AF6" s="108"/>
      <c r="AG6" s="108"/>
      <c r="AH6" s="108">
        <f>AV6</f>
        <v>0</v>
      </c>
      <c r="AI6" s="122"/>
      <c r="AJ6" s="96">
        <f t="shared" ref="AJ6:AJ11" si="4">SUM(AD6:AH6)</f>
        <v>0</v>
      </c>
      <c r="AK6" s="97">
        <f t="shared" ref="AK6:AK11" si="5">AJ6</f>
        <v>0</v>
      </c>
      <c r="AQ6" s="41">
        <f>0</f>
        <v>0</v>
      </c>
      <c r="AS6" s="78"/>
      <c r="AU6" s="3">
        <f>SUM(AM6:AT6)</f>
        <v>0</v>
      </c>
      <c r="AV6" s="3">
        <f>AU6</f>
        <v>0</v>
      </c>
    </row>
    <row r="7" spans="1:48" x14ac:dyDescent="0.25">
      <c r="A7" s="45" t="s">
        <v>711</v>
      </c>
      <c r="B7" s="66" t="s">
        <v>63</v>
      </c>
      <c r="C7" s="46">
        <v>2018</v>
      </c>
      <c r="D7" s="47">
        <f t="shared" ref="D7:D71" si="6">Q7+F7+E7</f>
        <v>3</v>
      </c>
      <c r="H7" s="280"/>
      <c r="N7" s="278">
        <f t="shared" ref="N7:N72" si="7">AB7</f>
        <v>3</v>
      </c>
      <c r="O7" s="152"/>
      <c r="P7" s="96">
        <f t="shared" ref="P7:P70" si="8">I7+J7+K7+L7+M7+N7</f>
        <v>3</v>
      </c>
      <c r="Q7" s="97">
        <f t="shared" si="0"/>
        <v>3</v>
      </c>
      <c r="S7" s="108"/>
      <c r="T7" s="108"/>
      <c r="U7" s="108"/>
      <c r="V7" s="108"/>
      <c r="W7" s="108"/>
      <c r="X7" s="108"/>
      <c r="Y7" s="108">
        <f t="shared" si="1"/>
        <v>3</v>
      </c>
      <c r="Z7" s="122"/>
      <c r="AA7" s="96">
        <f t="shared" si="2"/>
        <v>3</v>
      </c>
      <c r="AB7" s="97">
        <f t="shared" si="3"/>
        <v>3</v>
      </c>
      <c r="AD7" s="108">
        <f>3</f>
        <v>3</v>
      </c>
      <c r="AE7" s="108"/>
      <c r="AF7" s="108"/>
      <c r="AG7" s="108"/>
      <c r="AH7" s="108"/>
      <c r="AI7" s="122"/>
      <c r="AJ7" s="96">
        <f t="shared" si="4"/>
        <v>3</v>
      </c>
      <c r="AK7" s="97">
        <f t="shared" si="5"/>
        <v>3</v>
      </c>
      <c r="AS7" s="135"/>
    </row>
    <row r="8" spans="1:48" x14ac:dyDescent="0.25">
      <c r="A8" s="71" t="s">
        <v>228</v>
      </c>
      <c r="B8" s="66" t="s">
        <v>64</v>
      </c>
      <c r="C8" s="46"/>
      <c r="D8" s="47">
        <f t="shared" si="6"/>
        <v>27</v>
      </c>
      <c r="H8" s="280"/>
      <c r="N8" s="278">
        <f t="shared" si="7"/>
        <v>27</v>
      </c>
      <c r="O8" s="120"/>
      <c r="P8" s="96">
        <f t="shared" si="8"/>
        <v>27</v>
      </c>
      <c r="Q8" s="97">
        <f t="shared" si="0"/>
        <v>27</v>
      </c>
      <c r="S8" s="108"/>
      <c r="T8" s="108"/>
      <c r="U8" s="108"/>
      <c r="V8" s="108"/>
      <c r="W8" s="108"/>
      <c r="X8" s="108"/>
      <c r="Y8" s="108">
        <f t="shared" si="1"/>
        <v>27</v>
      </c>
      <c r="Z8" s="122"/>
      <c r="AA8" s="96">
        <f t="shared" si="2"/>
        <v>27</v>
      </c>
      <c r="AB8" s="97">
        <f t="shared" si="3"/>
        <v>27</v>
      </c>
      <c r="AD8" s="108"/>
      <c r="AE8" s="108"/>
      <c r="AF8" s="108"/>
      <c r="AG8" s="108"/>
      <c r="AH8" s="108">
        <f>AV8</f>
        <v>27</v>
      </c>
      <c r="AI8" s="122"/>
      <c r="AJ8" s="96">
        <f t="shared" si="4"/>
        <v>27</v>
      </c>
      <c r="AK8" s="97">
        <f t="shared" si="5"/>
        <v>27</v>
      </c>
      <c r="AO8" s="41">
        <f>27</f>
        <v>27</v>
      </c>
      <c r="AS8" s="37"/>
      <c r="AU8" s="3">
        <f>SUM(AM8:AT8)</f>
        <v>27</v>
      </c>
      <c r="AV8" s="3">
        <f>AU8</f>
        <v>27</v>
      </c>
    </row>
    <row r="9" spans="1:48" x14ac:dyDescent="0.25">
      <c r="A9" s="71" t="s">
        <v>708</v>
      </c>
      <c r="B9" s="66" t="s">
        <v>63</v>
      </c>
      <c r="C9" s="46">
        <v>2019</v>
      </c>
      <c r="D9" s="47">
        <f t="shared" si="6"/>
        <v>12</v>
      </c>
      <c r="H9" s="280"/>
      <c r="N9" s="278">
        <f t="shared" si="7"/>
        <v>12</v>
      </c>
      <c r="O9" s="152"/>
      <c r="P9" s="96">
        <f t="shared" si="8"/>
        <v>12</v>
      </c>
      <c r="Q9" s="97">
        <f t="shared" si="0"/>
        <v>12</v>
      </c>
      <c r="S9" s="108"/>
      <c r="T9" s="108"/>
      <c r="U9" s="108">
        <f>0</f>
        <v>0</v>
      </c>
      <c r="V9" s="108">
        <f>6+3</f>
        <v>9</v>
      </c>
      <c r="W9" s="108">
        <f>0</f>
        <v>0</v>
      </c>
      <c r="X9" s="108"/>
      <c r="Y9" s="108">
        <f t="shared" si="1"/>
        <v>3</v>
      </c>
      <c r="Z9" s="122"/>
      <c r="AA9" s="96">
        <f t="shared" si="2"/>
        <v>12</v>
      </c>
      <c r="AB9" s="97">
        <f t="shared" si="3"/>
        <v>12</v>
      </c>
      <c r="AD9" s="108">
        <f>3</f>
        <v>3</v>
      </c>
      <c r="AE9" s="108"/>
      <c r="AF9" s="108"/>
      <c r="AG9" s="108"/>
      <c r="AH9" s="108"/>
      <c r="AI9" s="122"/>
      <c r="AJ9" s="96">
        <f t="shared" si="4"/>
        <v>3</v>
      </c>
      <c r="AK9" s="97">
        <f t="shared" si="5"/>
        <v>3</v>
      </c>
      <c r="AS9" s="57"/>
    </row>
    <row r="10" spans="1:48" x14ac:dyDescent="0.25">
      <c r="A10" s="71" t="s">
        <v>707</v>
      </c>
      <c r="B10" s="66" t="s">
        <v>63</v>
      </c>
      <c r="C10" s="46">
        <v>2018</v>
      </c>
      <c r="D10" s="47">
        <f t="shared" si="6"/>
        <v>9</v>
      </c>
      <c r="E10" s="154"/>
      <c r="F10" s="154"/>
      <c r="H10" s="280"/>
      <c r="I10" s="154"/>
      <c r="J10" s="154"/>
      <c r="K10" s="154"/>
      <c r="L10" s="154"/>
      <c r="M10" s="154"/>
      <c r="N10" s="278">
        <f t="shared" si="7"/>
        <v>9</v>
      </c>
      <c r="O10" s="152"/>
      <c r="P10" s="96">
        <f t="shared" si="8"/>
        <v>9</v>
      </c>
      <c r="Q10" s="97">
        <f t="shared" si="0"/>
        <v>9</v>
      </c>
      <c r="R10" s="154"/>
      <c r="S10" s="108"/>
      <c r="T10" s="108"/>
      <c r="U10" s="108"/>
      <c r="V10" s="108"/>
      <c r="W10" s="108"/>
      <c r="X10" s="108"/>
      <c r="Y10" s="108">
        <f t="shared" si="1"/>
        <v>9</v>
      </c>
      <c r="Z10" s="122"/>
      <c r="AA10" s="96">
        <f t="shared" si="2"/>
        <v>9</v>
      </c>
      <c r="AB10" s="97">
        <f t="shared" si="3"/>
        <v>9</v>
      </c>
      <c r="AD10" s="108">
        <f>9</f>
        <v>9</v>
      </c>
      <c r="AE10" s="108"/>
      <c r="AF10" s="108"/>
      <c r="AG10" s="108"/>
      <c r="AH10" s="108"/>
      <c r="AI10" s="122"/>
      <c r="AJ10" s="96">
        <f t="shared" si="4"/>
        <v>9</v>
      </c>
      <c r="AK10" s="97">
        <f t="shared" si="5"/>
        <v>9</v>
      </c>
      <c r="AS10" s="135"/>
    </row>
    <row r="11" spans="1:48" x14ac:dyDescent="0.25">
      <c r="A11" s="71" t="s">
        <v>600</v>
      </c>
      <c r="B11" s="66" t="s">
        <v>598</v>
      </c>
      <c r="C11" s="46"/>
      <c r="D11" s="47">
        <f t="shared" si="6"/>
        <v>17</v>
      </c>
      <c r="H11" s="280"/>
      <c r="N11" s="278">
        <f>AB11</f>
        <v>17</v>
      </c>
      <c r="O11" s="120"/>
      <c r="P11" s="96">
        <f t="shared" si="8"/>
        <v>17</v>
      </c>
      <c r="Q11" s="97">
        <f t="shared" si="0"/>
        <v>17</v>
      </c>
      <c r="S11" s="108"/>
      <c r="T11" s="108"/>
      <c r="U11" s="108"/>
      <c r="V11" s="108"/>
      <c r="W11" s="108"/>
      <c r="X11" s="108"/>
      <c r="Y11" s="108">
        <f t="shared" si="1"/>
        <v>17</v>
      </c>
      <c r="Z11" s="122"/>
      <c r="AA11" s="96">
        <f t="shared" si="2"/>
        <v>17</v>
      </c>
      <c r="AB11" s="97">
        <f t="shared" si="3"/>
        <v>17</v>
      </c>
      <c r="AD11" s="108"/>
      <c r="AE11" s="108"/>
      <c r="AF11" s="108">
        <f>17</f>
        <v>17</v>
      </c>
      <c r="AG11" s="108"/>
      <c r="AH11" s="108"/>
      <c r="AI11" s="122"/>
      <c r="AJ11" s="96">
        <f t="shared" si="4"/>
        <v>17</v>
      </c>
      <c r="AK11" s="97">
        <f t="shared" si="5"/>
        <v>17</v>
      </c>
      <c r="AS11" s="114"/>
    </row>
    <row r="12" spans="1:48" x14ac:dyDescent="0.25">
      <c r="A12" s="11" t="s">
        <v>937</v>
      </c>
      <c r="B12" s="11" t="s">
        <v>63</v>
      </c>
      <c r="C12" s="3">
        <v>2018</v>
      </c>
      <c r="D12" s="47">
        <f t="shared" si="6"/>
        <v>55</v>
      </c>
      <c r="E12" s="283">
        <f>15</f>
        <v>15</v>
      </c>
      <c r="F12" s="278">
        <f>3</f>
        <v>3</v>
      </c>
      <c r="H12" s="280"/>
      <c r="I12" s="261">
        <f>9</f>
        <v>9</v>
      </c>
      <c r="K12" s="241">
        <f>1</f>
        <v>1</v>
      </c>
      <c r="N12" s="278">
        <f t="shared" si="7"/>
        <v>3</v>
      </c>
      <c r="O12" s="120">
        <f>24</f>
        <v>24</v>
      </c>
      <c r="P12" s="96">
        <f t="shared" si="8"/>
        <v>13</v>
      </c>
      <c r="Q12" s="97">
        <f t="shared" si="0"/>
        <v>37</v>
      </c>
      <c r="S12" s="108">
        <f>3</f>
        <v>3</v>
      </c>
      <c r="T12" s="108">
        <f>0</f>
        <v>0</v>
      </c>
      <c r="AA12" s="96">
        <f t="shared" si="2"/>
        <v>3</v>
      </c>
      <c r="AB12" s="97">
        <f t="shared" si="3"/>
        <v>3</v>
      </c>
      <c r="AT12" s="74"/>
    </row>
    <row r="13" spans="1:48" x14ac:dyDescent="0.25">
      <c r="A13" s="11" t="s">
        <v>1235</v>
      </c>
      <c r="B13" s="11" t="s">
        <v>63</v>
      </c>
      <c r="D13" s="47">
        <f>Q13+F13+E13</f>
        <v>6</v>
      </c>
      <c r="E13" s="108"/>
      <c r="F13" s="108"/>
      <c r="H13" s="101"/>
      <c r="K13" s="241">
        <f>6</f>
        <v>6</v>
      </c>
      <c r="N13" s="278">
        <f>AB13</f>
        <v>0</v>
      </c>
      <c r="O13" s="120"/>
      <c r="P13" s="96">
        <f>I13+J13+K13+L13+M13+N13</f>
        <v>6</v>
      </c>
      <c r="Q13" s="97">
        <f>IF(B13=2013, P13/3,P13)+O13</f>
        <v>6</v>
      </c>
      <c r="S13" s="108"/>
      <c r="T13" s="108"/>
      <c r="AA13" s="96"/>
      <c r="AB13" s="97"/>
    </row>
    <row r="14" spans="1:48" x14ac:dyDescent="0.25">
      <c r="A14" s="11" t="s">
        <v>983</v>
      </c>
      <c r="B14" s="11" t="s">
        <v>63</v>
      </c>
      <c r="C14" s="3">
        <v>2020</v>
      </c>
      <c r="D14" s="47">
        <f t="shared" si="6"/>
        <v>0</v>
      </c>
      <c r="E14" s="156"/>
      <c r="F14" s="156"/>
      <c r="H14" s="280"/>
      <c r="N14" s="278">
        <f t="shared" si="7"/>
        <v>0</v>
      </c>
      <c r="O14" s="120"/>
      <c r="P14" s="96">
        <f t="shared" si="8"/>
        <v>0</v>
      </c>
      <c r="Q14" s="97">
        <f t="shared" si="0"/>
        <v>0</v>
      </c>
      <c r="S14" s="108">
        <f>0</f>
        <v>0</v>
      </c>
      <c r="T14" s="108"/>
      <c r="AA14" s="96">
        <f t="shared" si="2"/>
        <v>0</v>
      </c>
      <c r="AB14" s="97">
        <f t="shared" si="3"/>
        <v>0</v>
      </c>
    </row>
    <row r="15" spans="1:48" x14ac:dyDescent="0.25">
      <c r="A15" s="11" t="s">
        <v>1079</v>
      </c>
      <c r="B15" s="11" t="s">
        <v>0</v>
      </c>
      <c r="C15" s="3">
        <v>2020</v>
      </c>
      <c r="D15" s="47">
        <f t="shared" si="6"/>
        <v>26</v>
      </c>
      <c r="E15" s="283">
        <f>4</f>
        <v>4</v>
      </c>
      <c r="H15" s="280"/>
      <c r="I15" s="261">
        <f>10</f>
        <v>10</v>
      </c>
      <c r="J15" s="246">
        <f>3</f>
        <v>3</v>
      </c>
      <c r="K15" s="241">
        <f>9</f>
        <v>9</v>
      </c>
      <c r="L15" s="228">
        <v>0</v>
      </c>
      <c r="N15" s="278">
        <f t="shared" si="7"/>
        <v>0</v>
      </c>
      <c r="O15" s="120"/>
      <c r="P15" s="96">
        <f t="shared" si="8"/>
        <v>22</v>
      </c>
      <c r="Q15" s="97">
        <f t="shared" si="0"/>
        <v>22</v>
      </c>
      <c r="S15" s="108"/>
      <c r="T15" s="108"/>
      <c r="AA15" s="96"/>
      <c r="AB15" s="97"/>
    </row>
    <row r="16" spans="1:48" x14ac:dyDescent="0.25">
      <c r="A16" s="71" t="s">
        <v>443</v>
      </c>
      <c r="B16" s="66" t="s">
        <v>63</v>
      </c>
      <c r="C16" s="72">
        <v>2018</v>
      </c>
      <c r="D16" s="47">
        <f t="shared" si="6"/>
        <v>23</v>
      </c>
      <c r="K16" s="241">
        <f>0</f>
        <v>0</v>
      </c>
      <c r="N16" s="278">
        <f t="shared" si="7"/>
        <v>23</v>
      </c>
      <c r="O16" s="120"/>
      <c r="P16" s="96">
        <f t="shared" si="8"/>
        <v>23</v>
      </c>
      <c r="Q16" s="97">
        <f t="shared" si="0"/>
        <v>23</v>
      </c>
      <c r="S16" s="108">
        <f>0</f>
        <v>0</v>
      </c>
      <c r="T16" s="108">
        <f>0</f>
        <v>0</v>
      </c>
      <c r="U16" s="108">
        <f>0</f>
        <v>0</v>
      </c>
      <c r="V16" s="108">
        <f>0+3</f>
        <v>3</v>
      </c>
      <c r="W16" s="108">
        <f>6</f>
        <v>6</v>
      </c>
      <c r="X16" s="108"/>
      <c r="Y16" s="108">
        <f>AK16</f>
        <v>14</v>
      </c>
      <c r="Z16" s="122"/>
      <c r="AA16" s="96">
        <f>S16+T16+U16+V16+W16+X16+Y16</f>
        <v>23</v>
      </c>
      <c r="AB16" s="97">
        <f>IF(C16=2017, AA16/3,AA16)+Z16</f>
        <v>23</v>
      </c>
      <c r="AD16" s="108">
        <f>6</f>
        <v>6</v>
      </c>
      <c r="AE16" s="108">
        <f>0</f>
        <v>0</v>
      </c>
      <c r="AF16" s="108">
        <f>0</f>
        <v>0</v>
      </c>
      <c r="AG16" s="108">
        <f>0</f>
        <v>0</v>
      </c>
      <c r="AH16" s="108">
        <f>AV16</f>
        <v>8</v>
      </c>
      <c r="AI16" s="122"/>
      <c r="AJ16" s="96">
        <f>SUM(AD16:AH16)</f>
        <v>14</v>
      </c>
      <c r="AK16" s="97">
        <f>AJ16</f>
        <v>14</v>
      </c>
      <c r="AQ16" s="41">
        <f>8</f>
        <v>8</v>
      </c>
      <c r="AR16" s="41">
        <f>0</f>
        <v>0</v>
      </c>
      <c r="AU16" s="3">
        <f>SUM(AM16:AT16)</f>
        <v>8</v>
      </c>
      <c r="AV16" s="3">
        <f>AU16</f>
        <v>8</v>
      </c>
    </row>
    <row r="17" spans="1:48" x14ac:dyDescent="0.25">
      <c r="A17" s="11" t="s">
        <v>982</v>
      </c>
      <c r="B17" s="11" t="s">
        <v>63</v>
      </c>
      <c r="C17" s="3">
        <v>2020</v>
      </c>
      <c r="D17" s="47">
        <f t="shared" si="6"/>
        <v>3</v>
      </c>
      <c r="H17" s="280"/>
      <c r="I17" s="261">
        <f>0</f>
        <v>0</v>
      </c>
      <c r="K17" s="241">
        <f>3</f>
        <v>3</v>
      </c>
      <c r="N17" s="278">
        <f t="shared" si="7"/>
        <v>0</v>
      </c>
      <c r="O17" s="120"/>
      <c r="P17" s="96">
        <f t="shared" si="8"/>
        <v>3</v>
      </c>
      <c r="Q17" s="97">
        <f t="shared" si="0"/>
        <v>3</v>
      </c>
      <c r="S17" s="108">
        <f>3</f>
        <v>3</v>
      </c>
      <c r="T17" s="108"/>
      <c r="AA17" s="68"/>
      <c r="AB17" s="68"/>
    </row>
    <row r="18" spans="1:48" x14ac:dyDescent="0.25">
      <c r="A18" s="11" t="s">
        <v>928</v>
      </c>
      <c r="B18" s="11" t="s">
        <v>1336</v>
      </c>
      <c r="C18" s="3">
        <v>2019</v>
      </c>
      <c r="D18" s="47">
        <f t="shared" si="6"/>
        <v>33</v>
      </c>
      <c r="E18" s="283">
        <f>12</f>
        <v>12</v>
      </c>
      <c r="F18" s="278">
        <f>12</f>
        <v>12</v>
      </c>
      <c r="H18" s="280"/>
      <c r="J18" s="246">
        <f>6</f>
        <v>6</v>
      </c>
      <c r="K18" s="241">
        <f>3</f>
        <v>3</v>
      </c>
      <c r="L18" s="228">
        <f>0</f>
        <v>0</v>
      </c>
      <c r="N18" s="278">
        <f t="shared" si="7"/>
        <v>0</v>
      </c>
      <c r="O18" s="120"/>
      <c r="P18" s="96">
        <f t="shared" si="8"/>
        <v>9</v>
      </c>
      <c r="Q18" s="97">
        <f t="shared" si="0"/>
        <v>9</v>
      </c>
      <c r="S18" s="108"/>
      <c r="T18" s="108">
        <f>3</f>
        <v>3</v>
      </c>
      <c r="AA18" s="68"/>
      <c r="AB18" s="68"/>
    </row>
    <row r="19" spans="1:48" x14ac:dyDescent="0.25">
      <c r="A19" s="11" t="s">
        <v>929</v>
      </c>
      <c r="B19" s="11" t="s">
        <v>0</v>
      </c>
      <c r="C19" s="3">
        <v>2019</v>
      </c>
      <c r="D19" s="47">
        <f t="shared" si="6"/>
        <v>75</v>
      </c>
      <c r="E19" s="283">
        <f>21</f>
        <v>21</v>
      </c>
      <c r="H19" s="280"/>
      <c r="I19" s="261">
        <f>18</f>
        <v>18</v>
      </c>
      <c r="J19" s="261">
        <f>9</f>
        <v>9</v>
      </c>
      <c r="K19" s="261">
        <f>9</f>
        <v>9</v>
      </c>
      <c r="L19" s="261">
        <v>18</v>
      </c>
      <c r="M19" s="261"/>
      <c r="N19" s="278">
        <f t="shared" si="7"/>
        <v>0</v>
      </c>
      <c r="O19" s="120"/>
      <c r="P19" s="96">
        <f t="shared" si="8"/>
        <v>54</v>
      </c>
      <c r="Q19" s="97">
        <f t="shared" si="0"/>
        <v>54</v>
      </c>
      <c r="R19" s="261"/>
      <c r="S19" s="108"/>
      <c r="T19" s="108">
        <f>2</f>
        <v>2</v>
      </c>
      <c r="AA19" s="68"/>
      <c r="AB19" s="68"/>
    </row>
    <row r="20" spans="1:48" x14ac:dyDescent="0.25">
      <c r="A20" s="45" t="s">
        <v>824</v>
      </c>
      <c r="B20" s="66" t="s">
        <v>0</v>
      </c>
      <c r="C20" s="46">
        <v>2018</v>
      </c>
      <c r="D20" s="47">
        <f t="shared" si="6"/>
        <v>49</v>
      </c>
      <c r="H20" s="280"/>
      <c r="J20" s="261"/>
      <c r="K20" s="261">
        <f>9+3</f>
        <v>12</v>
      </c>
      <c r="L20" s="261">
        <f>3+3</f>
        <v>6</v>
      </c>
      <c r="M20" s="261"/>
      <c r="N20" s="278">
        <f t="shared" si="7"/>
        <v>31</v>
      </c>
      <c r="O20" s="120"/>
      <c r="P20" s="96">
        <f t="shared" si="8"/>
        <v>49</v>
      </c>
      <c r="Q20" s="97">
        <f t="shared" si="0"/>
        <v>49</v>
      </c>
      <c r="R20" s="261"/>
      <c r="S20" s="108">
        <f>8+2</f>
        <v>10</v>
      </c>
      <c r="T20" s="108">
        <f>9</f>
        <v>9</v>
      </c>
      <c r="U20" s="108">
        <f>1</f>
        <v>1</v>
      </c>
      <c r="V20" s="108">
        <f>7</f>
        <v>7</v>
      </c>
      <c r="W20" s="108">
        <f>4</f>
        <v>4</v>
      </c>
      <c r="X20" s="108"/>
      <c r="Y20" s="108"/>
      <c r="Z20" s="122"/>
      <c r="AA20" s="96">
        <f>S20+T20+U20+V20+W20+X20+Y20</f>
        <v>31</v>
      </c>
      <c r="AB20" s="97">
        <f>IF(C20=2017, AA20/3,AA20)+Z20</f>
        <v>31</v>
      </c>
      <c r="AD20" s="108"/>
      <c r="AE20" s="108"/>
      <c r="AF20" s="108"/>
      <c r="AG20" s="108"/>
      <c r="AH20" s="108"/>
      <c r="AI20" s="122"/>
    </row>
    <row r="21" spans="1:48" x14ac:dyDescent="0.25">
      <c r="A21" s="45" t="s">
        <v>450</v>
      </c>
      <c r="B21" s="66" t="s">
        <v>7</v>
      </c>
      <c r="C21" s="46">
        <v>2018</v>
      </c>
      <c r="D21" s="47">
        <f t="shared" si="6"/>
        <v>0</v>
      </c>
      <c r="E21" s="154"/>
      <c r="F21" s="154"/>
      <c r="H21" s="280"/>
      <c r="I21" s="156"/>
      <c r="J21" s="156"/>
      <c r="K21" s="156"/>
      <c r="L21" s="156"/>
      <c r="M21" s="156"/>
      <c r="N21" s="278">
        <f t="shared" si="7"/>
        <v>0</v>
      </c>
      <c r="O21" s="120"/>
      <c r="P21" s="96">
        <f t="shared" si="8"/>
        <v>0</v>
      </c>
      <c r="Q21" s="97">
        <f t="shared" si="0"/>
        <v>0</v>
      </c>
      <c r="R21" s="156"/>
      <c r="S21" s="108"/>
      <c r="T21" s="108"/>
      <c r="U21" s="108"/>
      <c r="V21" s="108"/>
      <c r="W21" s="108"/>
      <c r="X21" s="108"/>
      <c r="Y21" s="108">
        <f>AK21</f>
        <v>0</v>
      </c>
      <c r="Z21" s="122"/>
      <c r="AA21" s="96">
        <f>S21+T21+U21+V21+W21+X21+Y21</f>
        <v>0</v>
      </c>
      <c r="AB21" s="97">
        <f>IF(C21=2017, AA21/3,AA21)+Z21</f>
        <v>0</v>
      </c>
      <c r="AD21" s="108"/>
      <c r="AE21" s="108"/>
      <c r="AF21" s="108"/>
      <c r="AG21" s="108"/>
      <c r="AH21" s="108">
        <f>AV21</f>
        <v>0</v>
      </c>
      <c r="AI21" s="122"/>
      <c r="AJ21" s="96">
        <f>SUM(AD21:AH21)</f>
        <v>0</v>
      </c>
      <c r="AK21" s="97">
        <f>AJ21</f>
        <v>0</v>
      </c>
      <c r="AQ21" s="41">
        <f>0</f>
        <v>0</v>
      </c>
      <c r="AS21" s="260"/>
      <c r="AU21" s="3">
        <f>SUM(AM21:AT21)</f>
        <v>0</v>
      </c>
      <c r="AV21" s="3">
        <f>AU21</f>
        <v>0</v>
      </c>
    </row>
    <row r="22" spans="1:48" x14ac:dyDescent="0.25">
      <c r="A22" s="45" t="s">
        <v>932</v>
      </c>
      <c r="B22" s="66" t="s">
        <v>63</v>
      </c>
      <c r="C22" s="46">
        <v>2018</v>
      </c>
      <c r="D22" s="47">
        <f t="shared" si="6"/>
        <v>43</v>
      </c>
      <c r="E22" s="283">
        <f>9</f>
        <v>9</v>
      </c>
      <c r="F22" s="278">
        <f>9</f>
        <v>9</v>
      </c>
      <c r="H22" s="280"/>
      <c r="I22" s="261">
        <f>18</f>
        <v>18</v>
      </c>
      <c r="K22" s="241">
        <f>7</f>
        <v>7</v>
      </c>
      <c r="N22" s="278">
        <f t="shared" si="7"/>
        <v>0</v>
      </c>
      <c r="O22" s="120"/>
      <c r="P22" s="96">
        <f t="shared" si="8"/>
        <v>25</v>
      </c>
      <c r="Q22" s="97">
        <f t="shared" si="0"/>
        <v>25</v>
      </c>
      <c r="S22" s="108">
        <f>4</f>
        <v>4</v>
      </c>
      <c r="T22" s="108">
        <f>8</f>
        <v>8</v>
      </c>
      <c r="U22" s="108"/>
      <c r="V22" s="108"/>
      <c r="W22" s="108"/>
      <c r="X22" s="108"/>
      <c r="Y22" s="108"/>
      <c r="Z22" s="122"/>
      <c r="AA22" s="68"/>
      <c r="AB22" s="68"/>
      <c r="AD22" s="108"/>
      <c r="AE22" s="108"/>
      <c r="AF22" s="108"/>
      <c r="AG22" s="108"/>
      <c r="AH22" s="108"/>
      <c r="AI22" s="122"/>
    </row>
    <row r="23" spans="1:48" x14ac:dyDescent="0.25">
      <c r="A23" s="45" t="s">
        <v>597</v>
      </c>
      <c r="B23" s="66" t="s">
        <v>598</v>
      </c>
      <c r="C23" s="46"/>
      <c r="D23" s="47">
        <f t="shared" si="6"/>
        <v>21</v>
      </c>
      <c r="N23" s="278">
        <f t="shared" si="7"/>
        <v>21</v>
      </c>
      <c r="O23" s="120"/>
      <c r="P23" s="96">
        <f t="shared" si="8"/>
        <v>21</v>
      </c>
      <c r="Q23" s="97">
        <f t="shared" si="0"/>
        <v>21</v>
      </c>
      <c r="S23" s="108"/>
      <c r="T23" s="108"/>
      <c r="U23" s="108"/>
      <c r="V23" s="108"/>
      <c r="W23" s="108"/>
      <c r="X23" s="108"/>
      <c r="Y23" s="108">
        <f>AK23</f>
        <v>21</v>
      </c>
      <c r="Z23" s="122"/>
      <c r="AA23" s="96">
        <f>S23+T23+U23+V23+W23+X23+Y23</f>
        <v>21</v>
      </c>
      <c r="AB23" s="97">
        <f>IF(C23=2017, AA23/3,AA23)+Z23</f>
        <v>21</v>
      </c>
      <c r="AD23" s="108"/>
      <c r="AE23" s="108"/>
      <c r="AF23" s="108">
        <f>21</f>
        <v>21</v>
      </c>
      <c r="AG23" s="108"/>
      <c r="AH23" s="108"/>
      <c r="AI23" s="122"/>
      <c r="AJ23" s="96">
        <f>SUM(AD23:AH23)</f>
        <v>21</v>
      </c>
      <c r="AK23" s="97">
        <f>AJ23</f>
        <v>21</v>
      </c>
      <c r="AS23" s="260"/>
    </row>
    <row r="24" spans="1:48" x14ac:dyDescent="0.25">
      <c r="A24" s="11" t="s">
        <v>931</v>
      </c>
      <c r="B24" s="11" t="s">
        <v>63</v>
      </c>
      <c r="C24" s="3">
        <v>2020</v>
      </c>
      <c r="D24" s="47">
        <f t="shared" si="6"/>
        <v>28</v>
      </c>
      <c r="E24" s="154">
        <f>2</f>
        <v>2</v>
      </c>
      <c r="F24" s="154">
        <f>4</f>
        <v>4</v>
      </c>
      <c r="H24" s="280"/>
      <c r="I24" s="261">
        <f>10</f>
        <v>10</v>
      </c>
      <c r="J24" s="246">
        <f>0</f>
        <v>0</v>
      </c>
      <c r="K24" s="241">
        <f>12</f>
        <v>12</v>
      </c>
      <c r="N24" s="278">
        <f t="shared" si="7"/>
        <v>0</v>
      </c>
      <c r="O24" s="120"/>
      <c r="P24" s="96">
        <f t="shared" si="8"/>
        <v>22</v>
      </c>
      <c r="Q24" s="97">
        <f t="shared" si="0"/>
        <v>22</v>
      </c>
      <c r="S24" s="108">
        <f>6</f>
        <v>6</v>
      </c>
      <c r="T24" s="108">
        <f>0</f>
        <v>0</v>
      </c>
      <c r="AA24" s="68"/>
      <c r="AB24" s="68"/>
    </row>
    <row r="25" spans="1:48" x14ac:dyDescent="0.25">
      <c r="A25" s="45" t="s">
        <v>432</v>
      </c>
      <c r="B25" s="66" t="s">
        <v>404</v>
      </c>
      <c r="C25" s="46">
        <v>2018</v>
      </c>
      <c r="D25" s="47">
        <f t="shared" si="6"/>
        <v>9</v>
      </c>
      <c r="H25" s="280"/>
      <c r="J25" s="246">
        <f>4+2</f>
        <v>6</v>
      </c>
      <c r="K25" s="241">
        <f>0</f>
        <v>0</v>
      </c>
      <c r="N25" s="278">
        <f t="shared" si="7"/>
        <v>3</v>
      </c>
      <c r="O25" s="120"/>
      <c r="P25" s="96">
        <f t="shared" si="8"/>
        <v>9</v>
      </c>
      <c r="Q25" s="97">
        <f t="shared" si="0"/>
        <v>9</v>
      </c>
      <c r="S25" s="108">
        <f>1+1</f>
        <v>2</v>
      </c>
      <c r="T25" s="108"/>
      <c r="U25" s="108"/>
      <c r="V25" s="108">
        <f>0+1</f>
        <v>1</v>
      </c>
      <c r="W25" s="108"/>
      <c r="X25" s="108"/>
      <c r="Y25" s="108">
        <f>AK25</f>
        <v>0</v>
      </c>
      <c r="Z25" s="122"/>
      <c r="AA25" s="96">
        <f>S25+T25+U25+V25+W25+X25+Y25</f>
        <v>3</v>
      </c>
      <c r="AB25" s="97">
        <f>IF(C25=2017, AA25/3,AA25)+Z25</f>
        <v>3</v>
      </c>
      <c r="AD25" s="108"/>
      <c r="AE25" s="108"/>
      <c r="AF25" s="108"/>
      <c r="AG25" s="108"/>
      <c r="AH25" s="108">
        <f>AV25</f>
        <v>0</v>
      </c>
      <c r="AI25" s="122"/>
      <c r="AJ25" s="96">
        <f>SUM(AD25:AH25)</f>
        <v>0</v>
      </c>
      <c r="AK25" s="97">
        <f>AJ25</f>
        <v>0</v>
      </c>
      <c r="AQ25" s="41">
        <f>0</f>
        <v>0</v>
      </c>
      <c r="AS25" s="41"/>
      <c r="AU25" s="3">
        <f>SUM(AM25:AT25)</f>
        <v>0</v>
      </c>
      <c r="AV25" s="3">
        <f>AU25</f>
        <v>0</v>
      </c>
    </row>
    <row r="26" spans="1:48" x14ac:dyDescent="0.25">
      <c r="A26" s="11" t="s">
        <v>1081</v>
      </c>
      <c r="B26" s="11" t="s">
        <v>36</v>
      </c>
      <c r="C26" s="3">
        <v>2018</v>
      </c>
      <c r="D26" s="47">
        <f t="shared" si="6"/>
        <v>10</v>
      </c>
      <c r="H26" s="280"/>
      <c r="L26" s="228">
        <f>9+1</f>
        <v>10</v>
      </c>
      <c r="N26" s="278">
        <f t="shared" si="7"/>
        <v>0</v>
      </c>
      <c r="O26" s="120"/>
      <c r="P26" s="96">
        <f t="shared" si="8"/>
        <v>10</v>
      </c>
      <c r="Q26" s="97">
        <f t="shared" si="0"/>
        <v>10</v>
      </c>
      <c r="AA26" s="68"/>
      <c r="AB26" s="68"/>
    </row>
    <row r="27" spans="1:48" x14ac:dyDescent="0.25">
      <c r="A27" s="45" t="s">
        <v>447</v>
      </c>
      <c r="B27" s="66" t="s">
        <v>7</v>
      </c>
      <c r="C27" s="46">
        <v>2018</v>
      </c>
      <c r="D27" s="47">
        <f t="shared" si="6"/>
        <v>3</v>
      </c>
      <c r="E27" s="154"/>
      <c r="F27" s="154"/>
      <c r="H27" s="280"/>
      <c r="N27" s="278">
        <f t="shared" si="7"/>
        <v>3</v>
      </c>
      <c r="O27" s="120"/>
      <c r="P27" s="96">
        <f t="shared" si="8"/>
        <v>3</v>
      </c>
      <c r="Q27" s="97">
        <f t="shared" si="0"/>
        <v>3</v>
      </c>
      <c r="S27" s="108"/>
      <c r="T27" s="108"/>
      <c r="U27" s="108"/>
      <c r="V27" s="108"/>
      <c r="W27" s="108"/>
      <c r="X27" s="108"/>
      <c r="Y27" s="108">
        <f>AK27</f>
        <v>3</v>
      </c>
      <c r="Z27" s="122"/>
      <c r="AA27" s="96">
        <f>S27+T27+U27+V27+W27+X27+Y27</f>
        <v>3</v>
      </c>
      <c r="AB27" s="97">
        <f>IF(C27=2017, AA27/3,AA27)+Z27</f>
        <v>3</v>
      </c>
      <c r="AD27" s="108"/>
      <c r="AE27" s="108"/>
      <c r="AF27" s="108"/>
      <c r="AG27" s="108"/>
      <c r="AH27" s="108">
        <f>AV27</f>
        <v>3</v>
      </c>
      <c r="AI27" s="122"/>
      <c r="AJ27" s="96">
        <f>SUM(AD27:AH27)</f>
        <v>3</v>
      </c>
      <c r="AK27" s="97">
        <f>AJ27</f>
        <v>3</v>
      </c>
      <c r="AQ27" s="41">
        <f>3</f>
        <v>3</v>
      </c>
      <c r="AS27" s="41"/>
      <c r="AU27" s="3">
        <f>SUM(AM27:AT27)</f>
        <v>3</v>
      </c>
      <c r="AV27" s="3">
        <f>AU27</f>
        <v>3</v>
      </c>
    </row>
    <row r="28" spans="1:48" x14ac:dyDescent="0.25">
      <c r="A28" s="11" t="s">
        <v>1234</v>
      </c>
      <c r="B28" s="11" t="s">
        <v>0</v>
      </c>
      <c r="C28" s="3">
        <v>2018</v>
      </c>
      <c r="D28" s="47">
        <f>Q28+F28+E28</f>
        <v>8</v>
      </c>
      <c r="E28" s="108"/>
      <c r="F28" s="108"/>
      <c r="H28" s="101"/>
      <c r="J28" s="261">
        <f>3</f>
        <v>3</v>
      </c>
      <c r="K28" s="261">
        <f>5</f>
        <v>5</v>
      </c>
      <c r="L28" s="261"/>
      <c r="M28" s="261"/>
      <c r="N28" s="278">
        <f>AB28</f>
        <v>0</v>
      </c>
      <c r="O28" s="120"/>
      <c r="P28" s="96">
        <f>I28+J28+K28+L28+M28+N28</f>
        <v>8</v>
      </c>
      <c r="Q28" s="97">
        <f>IF(B28=2013, P28/3,P28)+O28</f>
        <v>8</v>
      </c>
      <c r="R28" s="261"/>
      <c r="AA28" s="68"/>
      <c r="AB28" s="68"/>
    </row>
    <row r="29" spans="1:48" x14ac:dyDescent="0.25">
      <c r="A29" s="11" t="s">
        <v>934</v>
      </c>
      <c r="B29" s="11" t="s">
        <v>63</v>
      </c>
      <c r="C29" s="3">
        <v>2019</v>
      </c>
      <c r="D29" s="47">
        <f t="shared" si="6"/>
        <v>17</v>
      </c>
      <c r="E29" s="283">
        <f>6</f>
        <v>6</v>
      </c>
      <c r="F29" s="278">
        <f>6</f>
        <v>6</v>
      </c>
      <c r="H29" s="280"/>
      <c r="I29" s="261">
        <f>0</f>
        <v>0</v>
      </c>
      <c r="J29" s="246">
        <f>1</f>
        <v>1</v>
      </c>
      <c r="K29" s="241">
        <f>4</f>
        <v>4</v>
      </c>
      <c r="N29" s="278">
        <f t="shared" si="7"/>
        <v>0</v>
      </c>
      <c r="O29" s="120"/>
      <c r="P29" s="96">
        <f t="shared" si="8"/>
        <v>5</v>
      </c>
      <c r="Q29" s="97">
        <f t="shared" si="0"/>
        <v>5</v>
      </c>
      <c r="S29" s="108">
        <f>0</f>
        <v>0</v>
      </c>
      <c r="T29" s="108">
        <f>5</f>
        <v>5</v>
      </c>
      <c r="AA29" s="68"/>
      <c r="AB29" s="68"/>
    </row>
    <row r="30" spans="1:48" x14ac:dyDescent="0.25">
      <c r="A30" s="11" t="s">
        <v>936</v>
      </c>
      <c r="B30" s="11" t="s">
        <v>63</v>
      </c>
      <c r="C30" s="3">
        <v>2019</v>
      </c>
      <c r="D30" s="47">
        <f t="shared" si="6"/>
        <v>0</v>
      </c>
      <c r="E30" s="283">
        <f>0</f>
        <v>0</v>
      </c>
      <c r="F30" s="278">
        <f>0</f>
        <v>0</v>
      </c>
      <c r="H30" s="280"/>
      <c r="I30" s="261">
        <f>0</f>
        <v>0</v>
      </c>
      <c r="K30" s="241">
        <f>0</f>
        <v>0</v>
      </c>
      <c r="L30" s="241"/>
      <c r="M30" s="241"/>
      <c r="N30" s="278">
        <f t="shared" si="7"/>
        <v>0</v>
      </c>
      <c r="O30" s="120"/>
      <c r="P30" s="96">
        <f t="shared" si="8"/>
        <v>0</v>
      </c>
      <c r="Q30" s="97">
        <f t="shared" si="0"/>
        <v>0</v>
      </c>
      <c r="R30" s="241"/>
      <c r="S30" s="108">
        <f>0</f>
        <v>0</v>
      </c>
      <c r="T30" s="108">
        <f>1</f>
        <v>1</v>
      </c>
      <c r="AA30" s="68"/>
      <c r="AB30" s="68"/>
    </row>
    <row r="31" spans="1:48" x14ac:dyDescent="0.25">
      <c r="A31" s="45" t="s">
        <v>601</v>
      </c>
      <c r="B31" s="66" t="s">
        <v>36</v>
      </c>
      <c r="C31" s="46">
        <v>2019</v>
      </c>
      <c r="D31" s="47">
        <f t="shared" si="6"/>
        <v>40</v>
      </c>
      <c r="E31" s="283">
        <f>3</f>
        <v>3</v>
      </c>
      <c r="F31" s="278">
        <f>9+6</f>
        <v>15</v>
      </c>
      <c r="H31" s="280"/>
      <c r="I31" s="261">
        <f>0+2</f>
        <v>2</v>
      </c>
      <c r="J31" s="246">
        <f>8</f>
        <v>8</v>
      </c>
      <c r="K31" s="241">
        <f>6</f>
        <v>6</v>
      </c>
      <c r="L31" s="228">
        <v>0</v>
      </c>
      <c r="N31" s="278">
        <f t="shared" si="7"/>
        <v>6</v>
      </c>
      <c r="O31" s="120"/>
      <c r="P31" s="96">
        <f t="shared" si="8"/>
        <v>22</v>
      </c>
      <c r="Q31" s="97">
        <f t="shared" si="0"/>
        <v>22</v>
      </c>
      <c r="S31" s="108"/>
      <c r="T31" s="108"/>
      <c r="U31" s="108"/>
      <c r="V31" s="108">
        <f>3</f>
        <v>3</v>
      </c>
      <c r="W31" s="108"/>
      <c r="X31" s="108"/>
      <c r="Y31" s="108">
        <f>AK31</f>
        <v>3</v>
      </c>
      <c r="Z31" s="122"/>
      <c r="AA31" s="96">
        <f>S31+T31+U31+V31+W31+X31+Y31</f>
        <v>6</v>
      </c>
      <c r="AB31" s="97">
        <f>IF(C31=2017, AA31/3,AA31)+Z31</f>
        <v>6</v>
      </c>
      <c r="AD31" s="108"/>
      <c r="AE31" s="108">
        <f>0</f>
        <v>0</v>
      </c>
      <c r="AF31" s="108">
        <f>3</f>
        <v>3</v>
      </c>
      <c r="AG31" s="108"/>
      <c r="AH31" s="108"/>
      <c r="AI31" s="122"/>
      <c r="AJ31" s="96">
        <f>SUM(AD31:AH31)</f>
        <v>3</v>
      </c>
      <c r="AK31" s="97">
        <f>AJ31</f>
        <v>3</v>
      </c>
      <c r="AS31" s="260"/>
    </row>
    <row r="32" spans="1:48" x14ac:dyDescent="0.25">
      <c r="A32" s="45" t="s">
        <v>289</v>
      </c>
      <c r="B32" s="66" t="s">
        <v>0</v>
      </c>
      <c r="C32" s="46">
        <v>2018</v>
      </c>
      <c r="D32" s="47">
        <f t="shared" si="6"/>
        <v>106</v>
      </c>
      <c r="H32" s="280"/>
      <c r="J32" s="246">
        <f>0</f>
        <v>0</v>
      </c>
      <c r="K32" s="241">
        <f>6+3</f>
        <v>9</v>
      </c>
      <c r="L32" s="228">
        <f>0+3</f>
        <v>3</v>
      </c>
      <c r="N32" s="278">
        <f t="shared" si="7"/>
        <v>94</v>
      </c>
      <c r="O32" s="120"/>
      <c r="P32" s="96">
        <f t="shared" si="8"/>
        <v>106</v>
      </c>
      <c r="Q32" s="97">
        <f t="shared" si="0"/>
        <v>106</v>
      </c>
      <c r="S32" s="108">
        <f>0</f>
        <v>0</v>
      </c>
      <c r="T32" s="108">
        <f>6</f>
        <v>6</v>
      </c>
      <c r="U32" s="108">
        <f>3</f>
        <v>3</v>
      </c>
      <c r="V32" s="108">
        <f>3</f>
        <v>3</v>
      </c>
      <c r="W32" s="108">
        <f>15</f>
        <v>15</v>
      </c>
      <c r="X32" s="108"/>
      <c r="Y32" s="108">
        <f>AK32</f>
        <v>67</v>
      </c>
      <c r="Z32" s="122"/>
      <c r="AA32" s="96">
        <f>S32+T32+U32+V32+W32+X32+Y32</f>
        <v>94</v>
      </c>
      <c r="AB32" s="97">
        <f>IF(C32=2017, AA32/3,AA32)+Z32</f>
        <v>94</v>
      </c>
      <c r="AD32" s="108">
        <f>12</f>
        <v>12</v>
      </c>
      <c r="AE32" s="108">
        <f>9</f>
        <v>9</v>
      </c>
      <c r="AF32" s="108">
        <f>15</f>
        <v>15</v>
      </c>
      <c r="AG32" s="108">
        <f>9</f>
        <v>9</v>
      </c>
      <c r="AH32" s="108">
        <f>AV32</f>
        <v>22</v>
      </c>
      <c r="AI32" s="122"/>
      <c r="AJ32" s="96">
        <f>SUM(AD32:AH32)</f>
        <v>67</v>
      </c>
      <c r="AK32" s="97">
        <f>AJ32</f>
        <v>67</v>
      </c>
      <c r="AO32" s="41">
        <f>3</f>
        <v>3</v>
      </c>
      <c r="AP32" s="41">
        <f>3</f>
        <v>3</v>
      </c>
      <c r="AQ32" s="41">
        <f>10</f>
        <v>10</v>
      </c>
      <c r="AR32" s="41">
        <f>6</f>
        <v>6</v>
      </c>
      <c r="AS32" s="260"/>
      <c r="AU32" s="3">
        <f>SUM(AM32:AT32)</f>
        <v>22</v>
      </c>
      <c r="AV32" s="3">
        <f>AU32</f>
        <v>22</v>
      </c>
    </row>
    <row r="33" spans="1:48" x14ac:dyDescent="0.25">
      <c r="A33" s="11" t="s">
        <v>930</v>
      </c>
      <c r="B33" s="11" t="s">
        <v>0</v>
      </c>
      <c r="C33" s="3">
        <v>2019</v>
      </c>
      <c r="D33" s="47">
        <f t="shared" si="6"/>
        <v>38</v>
      </c>
      <c r="E33" s="283">
        <f>3</f>
        <v>3</v>
      </c>
      <c r="I33" s="261">
        <f>9</f>
        <v>9</v>
      </c>
      <c r="J33" s="246">
        <f>4</f>
        <v>4</v>
      </c>
      <c r="K33" s="241">
        <f>10</f>
        <v>10</v>
      </c>
      <c r="L33" s="241">
        <f>12</f>
        <v>12</v>
      </c>
      <c r="M33" s="241"/>
      <c r="N33" s="278">
        <f t="shared" si="7"/>
        <v>0</v>
      </c>
      <c r="O33" s="120"/>
      <c r="P33" s="96">
        <f t="shared" si="8"/>
        <v>35</v>
      </c>
      <c r="Q33" s="97">
        <f t="shared" si="0"/>
        <v>35</v>
      </c>
      <c r="R33" s="241"/>
      <c r="S33" s="108">
        <f>9</f>
        <v>9</v>
      </c>
      <c r="T33" s="108">
        <f>1</f>
        <v>1</v>
      </c>
      <c r="AA33" s="68"/>
      <c r="AB33" s="68"/>
    </row>
    <row r="34" spans="1:48" x14ac:dyDescent="0.25">
      <c r="A34" s="45" t="s">
        <v>79</v>
      </c>
      <c r="B34" s="66" t="s">
        <v>64</v>
      </c>
      <c r="C34" s="46"/>
      <c r="D34" s="47">
        <f t="shared" si="6"/>
        <v>42</v>
      </c>
      <c r="H34" s="280"/>
      <c r="J34" s="261"/>
      <c r="K34" s="261"/>
      <c r="L34" s="261"/>
      <c r="M34" s="261"/>
      <c r="N34" s="278">
        <f t="shared" si="7"/>
        <v>42</v>
      </c>
      <c r="O34" s="120"/>
      <c r="P34" s="96">
        <f t="shared" si="8"/>
        <v>42</v>
      </c>
      <c r="Q34" s="97">
        <f t="shared" si="0"/>
        <v>42</v>
      </c>
      <c r="R34" s="261"/>
      <c r="S34" s="108"/>
      <c r="T34" s="108"/>
      <c r="U34" s="108"/>
      <c r="V34" s="108"/>
      <c r="W34" s="108"/>
      <c r="X34" s="108"/>
      <c r="Y34" s="108">
        <f>AK34</f>
        <v>42</v>
      </c>
      <c r="Z34" s="122"/>
      <c r="AA34" s="96">
        <f>S34+T34+U34+V34+W34+X34+Y34</f>
        <v>42</v>
      </c>
      <c r="AB34" s="97">
        <f>IF(C34=2017, AA34/3,AA34)+Z34</f>
        <v>42</v>
      </c>
      <c r="AD34" s="108"/>
      <c r="AE34" s="108"/>
      <c r="AF34" s="108"/>
      <c r="AG34" s="108"/>
      <c r="AH34" s="108">
        <f>AV34</f>
        <v>42</v>
      </c>
      <c r="AI34" s="122"/>
      <c r="AJ34" s="96">
        <f>SUM(AD34:AH34)</f>
        <v>42</v>
      </c>
      <c r="AK34" s="97">
        <f>AJ34</f>
        <v>42</v>
      </c>
      <c r="AN34" s="41">
        <v>42</v>
      </c>
      <c r="AU34" s="3">
        <f>SUM(AM34:AT34)</f>
        <v>42</v>
      </c>
      <c r="AV34" s="3">
        <f>AU34</f>
        <v>42</v>
      </c>
    </row>
    <row r="35" spans="1:48" x14ac:dyDescent="0.25">
      <c r="A35" s="11" t="s">
        <v>1082</v>
      </c>
      <c r="B35" s="11" t="s">
        <v>36</v>
      </c>
      <c r="C35" s="3">
        <v>2018</v>
      </c>
      <c r="D35" s="47">
        <f t="shared" si="6"/>
        <v>1</v>
      </c>
      <c r="H35" s="280"/>
      <c r="I35" s="154"/>
      <c r="J35" s="154"/>
      <c r="K35" s="154"/>
      <c r="L35" s="154">
        <f>1</f>
        <v>1</v>
      </c>
      <c r="M35" s="154"/>
      <c r="N35" s="278">
        <f t="shared" si="7"/>
        <v>0</v>
      </c>
      <c r="O35" s="120"/>
      <c r="P35" s="96">
        <f t="shared" si="8"/>
        <v>1</v>
      </c>
      <c r="Q35" s="97">
        <f t="shared" si="0"/>
        <v>1</v>
      </c>
      <c r="R35" s="154"/>
      <c r="AA35" s="68"/>
      <c r="AB35" s="68"/>
    </row>
    <row r="36" spans="1:48" x14ac:dyDescent="0.25">
      <c r="A36" s="11" t="s">
        <v>1083</v>
      </c>
      <c r="B36" s="11" t="s">
        <v>36</v>
      </c>
      <c r="C36" s="3">
        <v>2019</v>
      </c>
      <c r="D36" s="47">
        <f t="shared" si="6"/>
        <v>68</v>
      </c>
      <c r="E36" s="283">
        <f>24</f>
        <v>24</v>
      </c>
      <c r="F36" s="278">
        <f>6+6</f>
        <v>12</v>
      </c>
      <c r="H36" s="280"/>
      <c r="I36" s="154">
        <f>16+2</f>
        <v>18</v>
      </c>
      <c r="J36" s="154">
        <f>7</f>
        <v>7</v>
      </c>
      <c r="K36" s="154">
        <f>1</f>
        <v>1</v>
      </c>
      <c r="L36" s="154">
        <v>6</v>
      </c>
      <c r="M36" s="154"/>
      <c r="N36" s="278">
        <f t="shared" si="7"/>
        <v>0</v>
      </c>
      <c r="O36" s="120"/>
      <c r="P36" s="96">
        <f t="shared" si="8"/>
        <v>32</v>
      </c>
      <c r="Q36" s="97">
        <f t="shared" si="0"/>
        <v>32</v>
      </c>
      <c r="R36" s="154"/>
      <c r="AA36" s="68"/>
      <c r="AB36" s="68"/>
    </row>
    <row r="37" spans="1:48" x14ac:dyDescent="0.25">
      <c r="A37" s="45" t="s">
        <v>984</v>
      </c>
      <c r="B37" s="66" t="s">
        <v>63</v>
      </c>
      <c r="C37" s="46">
        <v>2018</v>
      </c>
      <c r="D37" s="47">
        <f t="shared" si="6"/>
        <v>3</v>
      </c>
      <c r="E37" s="283">
        <f>0</f>
        <v>0</v>
      </c>
      <c r="F37" s="278">
        <f>3</f>
        <v>3</v>
      </c>
      <c r="H37" s="280"/>
      <c r="I37" s="108"/>
      <c r="J37" s="108"/>
      <c r="K37" s="108"/>
      <c r="L37" s="108"/>
      <c r="M37" s="108"/>
      <c r="N37" s="278">
        <f t="shared" si="7"/>
        <v>0</v>
      </c>
      <c r="O37" s="120"/>
      <c r="P37" s="96">
        <f t="shared" si="8"/>
        <v>0</v>
      </c>
      <c r="Q37" s="97">
        <f t="shared" si="0"/>
        <v>0</v>
      </c>
      <c r="R37" s="108"/>
      <c r="S37" s="108">
        <f>1</f>
        <v>1</v>
      </c>
      <c r="T37" s="108"/>
      <c r="U37" s="108"/>
      <c r="V37" s="108"/>
      <c r="W37" s="108"/>
      <c r="X37" s="108"/>
      <c r="Y37" s="108"/>
      <c r="Z37" s="122"/>
      <c r="AA37" s="68"/>
      <c r="AB37" s="68"/>
      <c r="AD37" s="108"/>
      <c r="AE37" s="108"/>
      <c r="AF37" s="108"/>
      <c r="AG37" s="108"/>
      <c r="AH37" s="108"/>
      <c r="AI37" s="122"/>
    </row>
    <row r="38" spans="1:48" x14ac:dyDescent="0.25">
      <c r="A38" s="45" t="s">
        <v>75</v>
      </c>
      <c r="B38" s="66" t="s">
        <v>64</v>
      </c>
      <c r="C38" s="46"/>
      <c r="D38" s="47">
        <f t="shared" si="6"/>
        <v>0</v>
      </c>
      <c r="H38" s="280"/>
      <c r="N38" s="278">
        <f t="shared" si="7"/>
        <v>0</v>
      </c>
      <c r="O38" s="120"/>
      <c r="P38" s="96">
        <f t="shared" si="8"/>
        <v>0</v>
      </c>
      <c r="Q38" s="97">
        <f t="shared" si="0"/>
        <v>0</v>
      </c>
      <c r="S38" s="108"/>
      <c r="T38" s="108"/>
      <c r="U38" s="108"/>
      <c r="V38" s="108"/>
      <c r="W38" s="108"/>
      <c r="X38" s="108"/>
      <c r="Y38" s="108">
        <f>AK38</f>
        <v>0</v>
      </c>
      <c r="Z38" s="122"/>
      <c r="AA38" s="96">
        <f>S38+T38+U38+V38+W38+X38+Y38</f>
        <v>0</v>
      </c>
      <c r="AB38" s="97">
        <f>IF(C38=2017, AA38/3,AA38)+Z38</f>
        <v>0</v>
      </c>
      <c r="AD38" s="108"/>
      <c r="AE38" s="108"/>
      <c r="AF38" s="108"/>
      <c r="AG38" s="108"/>
      <c r="AH38" s="108">
        <f>AV38</f>
        <v>0</v>
      </c>
      <c r="AI38" s="122"/>
      <c r="AJ38" s="96">
        <f>SUM(AD38:AH38)</f>
        <v>0</v>
      </c>
      <c r="AK38" s="97">
        <f>AJ38</f>
        <v>0</v>
      </c>
      <c r="AN38" s="41">
        <v>0</v>
      </c>
      <c r="AU38" s="3">
        <f>SUM(AM38:AT38)</f>
        <v>0</v>
      </c>
      <c r="AV38" s="3">
        <f>AU38</f>
        <v>0</v>
      </c>
    </row>
    <row r="39" spans="1:48" x14ac:dyDescent="0.25">
      <c r="A39" s="45" t="s">
        <v>292</v>
      </c>
      <c r="B39" s="66" t="s">
        <v>63</v>
      </c>
      <c r="C39" s="46"/>
      <c r="D39" s="47">
        <f t="shared" si="6"/>
        <v>0</v>
      </c>
      <c r="H39" s="280"/>
      <c r="J39" s="261"/>
      <c r="K39" s="261"/>
      <c r="L39" s="261"/>
      <c r="M39" s="261"/>
      <c r="N39" s="278">
        <f t="shared" si="7"/>
        <v>0</v>
      </c>
      <c r="O39" s="120"/>
      <c r="P39" s="96">
        <f t="shared" si="8"/>
        <v>0</v>
      </c>
      <c r="Q39" s="97">
        <f t="shared" si="0"/>
        <v>0</v>
      </c>
      <c r="R39" s="261"/>
      <c r="S39" s="108"/>
      <c r="T39" s="108"/>
      <c r="U39" s="108"/>
      <c r="V39" s="108"/>
      <c r="W39" s="108"/>
      <c r="X39" s="108"/>
      <c r="Y39" s="108">
        <f>AK39</f>
        <v>0</v>
      </c>
      <c r="Z39" s="122"/>
      <c r="AA39" s="96">
        <f>S39+T39+U39+V39+W39+X39+Y39</f>
        <v>0</v>
      </c>
      <c r="AB39" s="97">
        <f>IF(C39=2017, AA39/3,AA39)+Z39</f>
        <v>0</v>
      </c>
      <c r="AD39" s="108"/>
      <c r="AE39" s="108"/>
      <c r="AF39" s="108"/>
      <c r="AG39" s="108"/>
      <c r="AH39" s="108">
        <f>AV39</f>
        <v>0</v>
      </c>
      <c r="AI39" s="122"/>
      <c r="AJ39" s="96">
        <f>SUM(AD39:AH39)</f>
        <v>0</v>
      </c>
      <c r="AK39" s="97">
        <f>AJ39</f>
        <v>0</v>
      </c>
      <c r="AP39" s="41">
        <f>0</f>
        <v>0</v>
      </c>
      <c r="AU39" s="3">
        <f>SUM(AM39:AT39)</f>
        <v>0</v>
      </c>
      <c r="AV39" s="3">
        <f>AU39</f>
        <v>0</v>
      </c>
    </row>
    <row r="40" spans="1:48" x14ac:dyDescent="0.25">
      <c r="A40" s="45" t="s">
        <v>823</v>
      </c>
      <c r="B40" s="66" t="s">
        <v>0</v>
      </c>
      <c r="C40" s="46">
        <v>2020</v>
      </c>
      <c r="D40" s="47">
        <f t="shared" si="6"/>
        <v>65</v>
      </c>
      <c r="E40" s="108">
        <f>5</f>
        <v>5</v>
      </c>
      <c r="F40" s="108"/>
      <c r="H40" s="101"/>
      <c r="J40" s="246">
        <f>6+3</f>
        <v>9</v>
      </c>
      <c r="K40" s="241">
        <f>15+6</f>
        <v>21</v>
      </c>
      <c r="L40" s="241">
        <v>3</v>
      </c>
      <c r="M40" s="241"/>
      <c r="N40" s="278">
        <f t="shared" si="7"/>
        <v>27</v>
      </c>
      <c r="O40" s="120"/>
      <c r="P40" s="96">
        <f t="shared" si="8"/>
        <v>60</v>
      </c>
      <c r="Q40" s="97">
        <f t="shared" ref="Q40:Q70" si="9">IF(B40=2013, P40/3,P40)+O40</f>
        <v>60</v>
      </c>
      <c r="R40" s="241"/>
      <c r="S40" s="108">
        <f>15</f>
        <v>15</v>
      </c>
      <c r="T40" s="108">
        <f>0</f>
        <v>0</v>
      </c>
      <c r="U40" s="108">
        <f>0</f>
        <v>0</v>
      </c>
      <c r="V40" s="108">
        <f>9</f>
        <v>9</v>
      </c>
      <c r="W40" s="108">
        <f>3</f>
        <v>3</v>
      </c>
      <c r="X40" s="108"/>
      <c r="Y40" s="108"/>
      <c r="Z40" s="122"/>
      <c r="AA40" s="96">
        <f>S40+T40+U40+V40+W40+X40+Y40</f>
        <v>27</v>
      </c>
      <c r="AB40" s="97">
        <f>IF(C40=2017, AA40/3,AA40)+Z40</f>
        <v>27</v>
      </c>
      <c r="AD40" s="108"/>
      <c r="AE40" s="108"/>
      <c r="AF40" s="108"/>
      <c r="AG40" s="108"/>
      <c r="AH40" s="108"/>
      <c r="AI40" s="122"/>
    </row>
    <row r="41" spans="1:48" x14ac:dyDescent="0.25">
      <c r="A41" s="45" t="s">
        <v>73</v>
      </c>
      <c r="B41" s="66" t="s">
        <v>64</v>
      </c>
      <c r="C41" s="46"/>
      <c r="D41" s="47">
        <f t="shared" si="6"/>
        <v>3</v>
      </c>
      <c r="H41" s="280"/>
      <c r="I41" s="154"/>
      <c r="J41" s="154"/>
      <c r="K41" s="154"/>
      <c r="L41" s="154"/>
      <c r="M41" s="154"/>
      <c r="N41" s="278">
        <f t="shared" si="7"/>
        <v>3</v>
      </c>
      <c r="O41" s="120"/>
      <c r="P41" s="96">
        <f t="shared" si="8"/>
        <v>3</v>
      </c>
      <c r="Q41" s="97">
        <f t="shared" si="9"/>
        <v>3</v>
      </c>
      <c r="R41" s="154"/>
      <c r="S41" s="108"/>
      <c r="T41" s="108"/>
      <c r="U41" s="108"/>
      <c r="V41" s="108"/>
      <c r="W41" s="108"/>
      <c r="X41" s="108"/>
      <c r="Y41" s="108">
        <f>AK41</f>
        <v>3</v>
      </c>
      <c r="Z41" s="122"/>
      <c r="AA41" s="96">
        <f>S41+T41+U41+V41+W41+X41+Y41</f>
        <v>3</v>
      </c>
      <c r="AB41" s="97">
        <f>IF(C41=2017, AA41/3,AA41)+Z41</f>
        <v>3</v>
      </c>
      <c r="AD41" s="108"/>
      <c r="AE41" s="108"/>
      <c r="AF41" s="108"/>
      <c r="AG41" s="108"/>
      <c r="AH41" s="108">
        <f>AV41</f>
        <v>3</v>
      </c>
      <c r="AI41" s="122"/>
      <c r="AJ41" s="96">
        <f>SUM(AD41:AH41)</f>
        <v>3</v>
      </c>
      <c r="AK41" s="97">
        <f>AJ41</f>
        <v>3</v>
      </c>
      <c r="AN41" s="41">
        <v>3</v>
      </c>
      <c r="AT41" s="74"/>
      <c r="AU41" s="3">
        <f>SUM(AM41:AT41)</f>
        <v>3</v>
      </c>
      <c r="AV41" s="3">
        <f>AU41</f>
        <v>3</v>
      </c>
    </row>
    <row r="42" spans="1:48" x14ac:dyDescent="0.25">
      <c r="A42" s="71" t="s">
        <v>544</v>
      </c>
      <c r="B42" s="11" t="s">
        <v>0</v>
      </c>
      <c r="C42" s="3">
        <v>2019</v>
      </c>
      <c r="D42" s="47">
        <f t="shared" si="6"/>
        <v>132</v>
      </c>
      <c r="F42" s="278">
        <f>21</f>
        <v>21</v>
      </c>
      <c r="H42" s="280"/>
      <c r="I42" s="261">
        <f>18</f>
        <v>18</v>
      </c>
      <c r="J42" s="246">
        <f>3+3</f>
        <v>6</v>
      </c>
      <c r="K42" s="241">
        <f>12+6</f>
        <v>18</v>
      </c>
      <c r="L42" s="228">
        <v>6</v>
      </c>
      <c r="N42" s="278">
        <f t="shared" si="7"/>
        <v>63</v>
      </c>
      <c r="O42" s="120"/>
      <c r="P42" s="96">
        <f t="shared" si="8"/>
        <v>111</v>
      </c>
      <c r="Q42" s="97">
        <f t="shared" si="9"/>
        <v>111</v>
      </c>
      <c r="S42" s="108">
        <f>12</f>
        <v>12</v>
      </c>
      <c r="T42" s="108">
        <f>3</f>
        <v>3</v>
      </c>
      <c r="U42" s="108"/>
      <c r="V42" s="108">
        <f>12</f>
        <v>12</v>
      </c>
      <c r="W42" s="108">
        <f>6</f>
        <v>6</v>
      </c>
      <c r="X42" s="108">
        <v>0</v>
      </c>
      <c r="Y42" s="108">
        <f>AK42</f>
        <v>30</v>
      </c>
      <c r="Z42" s="122"/>
      <c r="AA42" s="96">
        <f>S42+T42+U42+V42+W42+X42+Y42</f>
        <v>63</v>
      </c>
      <c r="AB42" s="97">
        <f>IF(C42=2017, AA42/3,AA42)+Z42</f>
        <v>63</v>
      </c>
      <c r="AD42" s="108">
        <f>6</f>
        <v>6</v>
      </c>
      <c r="AE42" s="108">
        <f>6</f>
        <v>6</v>
      </c>
      <c r="AF42" s="108">
        <f>12</f>
        <v>12</v>
      </c>
      <c r="AG42" s="108">
        <f>6</f>
        <v>6</v>
      </c>
      <c r="AH42" s="108"/>
      <c r="AI42" s="122"/>
      <c r="AJ42" s="96">
        <f>SUM(AD42:AH42)</f>
        <v>30</v>
      </c>
      <c r="AK42" s="97">
        <f>AJ42</f>
        <v>30</v>
      </c>
    </row>
    <row r="43" spans="1:48" x14ac:dyDescent="0.25">
      <c r="A43" s="11" t="s">
        <v>1080</v>
      </c>
      <c r="B43" s="11" t="s">
        <v>36</v>
      </c>
      <c r="C43" s="3">
        <v>2018</v>
      </c>
      <c r="D43" s="47">
        <f t="shared" si="6"/>
        <v>30</v>
      </c>
      <c r="H43" s="280"/>
      <c r="J43" s="261"/>
      <c r="K43" s="261">
        <f>8</f>
        <v>8</v>
      </c>
      <c r="L43" s="261">
        <v>15</v>
      </c>
      <c r="M43" s="261"/>
      <c r="N43" s="278">
        <f t="shared" si="7"/>
        <v>0</v>
      </c>
      <c r="O43" s="120">
        <f>7</f>
        <v>7</v>
      </c>
      <c r="P43" s="96">
        <f t="shared" si="8"/>
        <v>23</v>
      </c>
      <c r="Q43" s="97">
        <f t="shared" si="9"/>
        <v>30</v>
      </c>
      <c r="R43" s="261"/>
      <c r="AA43" s="68"/>
      <c r="AB43" s="68"/>
    </row>
    <row r="44" spans="1:48" x14ac:dyDescent="0.25">
      <c r="A44" s="45" t="s">
        <v>67</v>
      </c>
      <c r="B44" s="66" t="s">
        <v>64</v>
      </c>
      <c r="C44" s="46"/>
      <c r="D44" s="47">
        <f t="shared" si="6"/>
        <v>12</v>
      </c>
      <c r="E44" s="154"/>
      <c r="F44" s="154"/>
      <c r="H44" s="280"/>
      <c r="J44" s="261"/>
      <c r="K44" s="261"/>
      <c r="L44" s="261"/>
      <c r="M44" s="261"/>
      <c r="N44" s="278">
        <f t="shared" si="7"/>
        <v>12</v>
      </c>
      <c r="O44" s="120"/>
      <c r="P44" s="96">
        <f t="shared" si="8"/>
        <v>12</v>
      </c>
      <c r="Q44" s="97">
        <f t="shared" si="9"/>
        <v>12</v>
      </c>
      <c r="R44" s="261"/>
      <c r="S44" s="108"/>
      <c r="T44" s="108"/>
      <c r="U44" s="108"/>
      <c r="V44" s="108"/>
      <c r="W44" s="108"/>
      <c r="X44" s="108"/>
      <c r="Y44" s="108">
        <f>AK44</f>
        <v>12</v>
      </c>
      <c r="Z44" s="122"/>
      <c r="AA44" s="96">
        <f>S44+T44+U44+V44+W44+X44+Y44</f>
        <v>12</v>
      </c>
      <c r="AB44" s="97">
        <f>IF(C44=2017, AA44/3,AA44)+Z44</f>
        <v>12</v>
      </c>
      <c r="AD44" s="108"/>
      <c r="AE44" s="108"/>
      <c r="AF44" s="108"/>
      <c r="AG44" s="108"/>
      <c r="AH44" s="108">
        <f>AV44</f>
        <v>12</v>
      </c>
      <c r="AI44" s="122"/>
      <c r="AJ44" s="96">
        <f>SUM(AD44:AH44)</f>
        <v>12</v>
      </c>
      <c r="AK44" s="97">
        <f>AJ44</f>
        <v>12</v>
      </c>
      <c r="AN44" s="41">
        <v>12</v>
      </c>
      <c r="AS44" s="260"/>
      <c r="AU44" s="3">
        <f>SUM(AM44:AT44)</f>
        <v>12</v>
      </c>
      <c r="AV44" s="3">
        <f>AU44</f>
        <v>12</v>
      </c>
    </row>
    <row r="45" spans="1:48" x14ac:dyDescent="0.25">
      <c r="A45" s="11" t="s">
        <v>1236</v>
      </c>
      <c r="B45" s="11" t="s">
        <v>0</v>
      </c>
      <c r="C45" s="3">
        <v>2019</v>
      </c>
      <c r="D45" s="47">
        <f>Q45+F45+E45</f>
        <v>0</v>
      </c>
      <c r="H45" s="280"/>
      <c r="K45" s="241">
        <f>0</f>
        <v>0</v>
      </c>
      <c r="N45" s="278">
        <f>AB45</f>
        <v>0</v>
      </c>
      <c r="O45" s="120"/>
      <c r="P45" s="96">
        <f>I45+J45+K45+L45+M45+N45</f>
        <v>0</v>
      </c>
      <c r="Q45" s="97">
        <f>IF(B45=2013, P45/3,P45)+O45</f>
        <v>0</v>
      </c>
      <c r="AA45" s="68"/>
      <c r="AB45" s="68"/>
    </row>
    <row r="46" spans="1:48" x14ac:dyDescent="0.25">
      <c r="A46" s="45" t="s">
        <v>81</v>
      </c>
      <c r="B46" s="66" t="s">
        <v>63</v>
      </c>
      <c r="C46" s="46">
        <v>2018</v>
      </c>
      <c r="D46" s="47">
        <f t="shared" si="6"/>
        <v>137</v>
      </c>
      <c r="E46" s="283">
        <f>9+3</f>
        <v>12</v>
      </c>
      <c r="F46" s="278">
        <f>12+3</f>
        <v>15</v>
      </c>
      <c r="H46" s="280"/>
      <c r="I46" s="261">
        <f>0+3</f>
        <v>3</v>
      </c>
      <c r="J46" s="246">
        <f>6+6</f>
        <v>12</v>
      </c>
      <c r="K46" s="241">
        <f>3+9</f>
        <v>12</v>
      </c>
      <c r="L46" s="241"/>
      <c r="M46" s="241"/>
      <c r="N46" s="278">
        <f t="shared" si="7"/>
        <v>83</v>
      </c>
      <c r="O46" s="120"/>
      <c r="P46" s="96">
        <f t="shared" si="8"/>
        <v>110</v>
      </c>
      <c r="Q46" s="97">
        <f t="shared" si="9"/>
        <v>110</v>
      </c>
      <c r="R46" s="241"/>
      <c r="S46" s="108">
        <f>4</f>
        <v>4</v>
      </c>
      <c r="T46" s="108">
        <f>9</f>
        <v>9</v>
      </c>
      <c r="U46" s="108">
        <f>6</f>
        <v>6</v>
      </c>
      <c r="V46" s="108">
        <f>6+3</f>
        <v>9</v>
      </c>
      <c r="W46" s="108">
        <f>9+1</f>
        <v>10</v>
      </c>
      <c r="X46" s="108">
        <v>0</v>
      </c>
      <c r="Y46" s="108">
        <f>AK46</f>
        <v>45</v>
      </c>
      <c r="Z46" s="122"/>
      <c r="AA46" s="96">
        <f>S46+T46+U46+V46+W46+X46+Y46</f>
        <v>83</v>
      </c>
      <c r="AB46" s="97">
        <f>IF(C46=2017, AA46/3,AA46)+Z46</f>
        <v>83</v>
      </c>
      <c r="AD46" s="108">
        <f>12</f>
        <v>12</v>
      </c>
      <c r="AE46" s="108">
        <f>9</f>
        <v>9</v>
      </c>
      <c r="AF46" s="108">
        <f>6</f>
        <v>6</v>
      </c>
      <c r="AG46" s="108">
        <f>3</f>
        <v>3</v>
      </c>
      <c r="AH46" s="108">
        <f>AV46</f>
        <v>15</v>
      </c>
      <c r="AI46" s="122"/>
      <c r="AJ46" s="96">
        <f>SUM(AD46:AH46)</f>
        <v>45</v>
      </c>
      <c r="AK46" s="97">
        <f>AJ46</f>
        <v>45</v>
      </c>
      <c r="AN46" s="41">
        <v>0</v>
      </c>
      <c r="AP46" s="41">
        <f>9</f>
        <v>9</v>
      </c>
      <c r="AQ46" s="41">
        <f>3</f>
        <v>3</v>
      </c>
      <c r="AR46" s="41">
        <f>3</f>
        <v>3</v>
      </c>
      <c r="AU46" s="3">
        <f>SUM(AM46:AT46)</f>
        <v>15</v>
      </c>
      <c r="AV46" s="3">
        <f>AU46</f>
        <v>15</v>
      </c>
    </row>
    <row r="47" spans="1:48" x14ac:dyDescent="0.25">
      <c r="A47" s="11" t="s">
        <v>677</v>
      </c>
      <c r="B47" s="66" t="s">
        <v>63</v>
      </c>
      <c r="C47" s="46">
        <v>2018</v>
      </c>
      <c r="D47" s="47">
        <f t="shared" si="6"/>
        <v>60</v>
      </c>
      <c r="E47" s="283">
        <f>18</f>
        <v>18</v>
      </c>
      <c r="F47" s="278">
        <f>18</f>
        <v>18</v>
      </c>
      <c r="H47" s="280"/>
      <c r="I47" s="261">
        <f>0</f>
        <v>0</v>
      </c>
      <c r="K47" s="246">
        <f>3</f>
        <v>3</v>
      </c>
      <c r="L47" s="246"/>
      <c r="M47" s="246"/>
      <c r="N47" s="278">
        <f t="shared" si="7"/>
        <v>21</v>
      </c>
      <c r="O47" s="120"/>
      <c r="P47" s="96">
        <f t="shared" si="8"/>
        <v>24</v>
      </c>
      <c r="Q47" s="97">
        <f t="shared" si="9"/>
        <v>24</v>
      </c>
      <c r="R47" s="246"/>
      <c r="S47" s="108">
        <f>2</f>
        <v>2</v>
      </c>
      <c r="T47" s="108">
        <f>3</f>
        <v>3</v>
      </c>
      <c r="U47" s="108">
        <f>6</f>
        <v>6</v>
      </c>
      <c r="V47" s="108">
        <f>3+3</f>
        <v>6</v>
      </c>
      <c r="W47" s="108">
        <f>1</f>
        <v>1</v>
      </c>
      <c r="X47" s="108">
        <v>0</v>
      </c>
      <c r="Y47" s="108">
        <f>AK47</f>
        <v>3</v>
      </c>
      <c r="Z47" s="122"/>
      <c r="AA47" s="96">
        <f>S47+T47+U47+V47+W47+X47+Y47</f>
        <v>21</v>
      </c>
      <c r="AB47" s="97">
        <f>IF(C47=2017, AA47/3,AA47)+Z47</f>
        <v>21</v>
      </c>
      <c r="AD47" s="108">
        <f>0</f>
        <v>0</v>
      </c>
      <c r="AE47" s="108">
        <f>3</f>
        <v>3</v>
      </c>
      <c r="AF47" s="108"/>
      <c r="AG47" s="108"/>
      <c r="AH47" s="108"/>
      <c r="AI47" s="122"/>
      <c r="AJ47" s="96">
        <f>SUM(AD47:AH47)</f>
        <v>3</v>
      </c>
      <c r="AK47" s="97">
        <f>AJ47</f>
        <v>3</v>
      </c>
    </row>
    <row r="48" spans="1:48" x14ac:dyDescent="0.25">
      <c r="A48" s="11" t="s">
        <v>933</v>
      </c>
      <c r="B48" s="11" t="s">
        <v>63</v>
      </c>
      <c r="C48" s="3">
        <v>2018</v>
      </c>
      <c r="D48" s="47">
        <f t="shared" si="6"/>
        <v>56</v>
      </c>
      <c r="E48" s="283">
        <f>3</f>
        <v>3</v>
      </c>
      <c r="F48" s="278">
        <f>15+3</f>
        <v>18</v>
      </c>
      <c r="H48" s="280"/>
      <c r="I48" s="261">
        <f>9+3</f>
        <v>12</v>
      </c>
      <c r="J48" s="261">
        <f>2+6</f>
        <v>8</v>
      </c>
      <c r="K48" s="261">
        <f>6+9</f>
        <v>15</v>
      </c>
      <c r="L48" s="261"/>
      <c r="M48" s="261"/>
      <c r="N48" s="278">
        <f t="shared" si="7"/>
        <v>0</v>
      </c>
      <c r="O48" s="120"/>
      <c r="P48" s="96">
        <f t="shared" si="8"/>
        <v>35</v>
      </c>
      <c r="Q48" s="97">
        <f t="shared" si="9"/>
        <v>35</v>
      </c>
      <c r="R48" s="261"/>
      <c r="S48" s="108">
        <f>2</f>
        <v>2</v>
      </c>
      <c r="T48" s="108">
        <f>7</f>
        <v>7</v>
      </c>
      <c r="AA48" s="68"/>
      <c r="AB48" s="68"/>
    </row>
    <row r="49" spans="1:48" s="5" customFormat="1" x14ac:dyDescent="0.25">
      <c r="A49" s="180" t="s">
        <v>15</v>
      </c>
      <c r="B49" s="10"/>
      <c r="D49" s="47"/>
      <c r="E49" s="154"/>
      <c r="F49" s="154"/>
      <c r="G49" s="120"/>
      <c r="H49" s="280"/>
      <c r="I49" s="261"/>
      <c r="J49" s="246"/>
      <c r="K49" s="241"/>
      <c r="L49" s="228"/>
      <c r="M49" s="215"/>
      <c r="N49" s="278">
        <f t="shared" si="7"/>
        <v>0</v>
      </c>
      <c r="O49" s="120"/>
      <c r="P49" s="96">
        <f t="shared" si="8"/>
        <v>0</v>
      </c>
      <c r="Q49" s="97">
        <f t="shared" si="9"/>
        <v>0</v>
      </c>
      <c r="R49" s="215"/>
      <c r="S49" s="174"/>
      <c r="T49" s="174"/>
      <c r="U49" s="174"/>
      <c r="V49" s="174"/>
      <c r="W49" s="175"/>
      <c r="X49" s="176"/>
      <c r="Y49" s="108">
        <f t="shared" ref="Y49" si="10">AK49</f>
        <v>0</v>
      </c>
      <c r="Z49" s="155"/>
      <c r="AA49" s="96">
        <f t="shared" ref="AA49" si="11">S49+T49+U49+V49+W49+X49+Y49</f>
        <v>0</v>
      </c>
      <c r="AB49" s="97">
        <f t="shared" ref="AB49" si="12">IF(C49=2017, AA49/3,AA49)+Z49</f>
        <v>0</v>
      </c>
      <c r="AC49" s="165"/>
      <c r="AD49" s="177"/>
      <c r="AE49" s="178"/>
      <c r="AF49" s="175"/>
      <c r="AG49" s="179"/>
      <c r="AH49" s="111"/>
      <c r="AI49" s="155"/>
      <c r="AJ49" s="96"/>
      <c r="AK49" s="97"/>
      <c r="AL49" s="165"/>
      <c r="AM49" s="167"/>
      <c r="AN49" s="59"/>
      <c r="AO49" s="73"/>
      <c r="AP49" s="79"/>
      <c r="AQ49" s="81"/>
      <c r="AR49" s="93"/>
      <c r="AS49" s="33"/>
      <c r="AT49" s="95"/>
      <c r="AU49" s="96"/>
      <c r="AV49" s="97"/>
    </row>
    <row r="50" spans="1:48" x14ac:dyDescent="0.25">
      <c r="A50" s="11" t="s">
        <v>1286</v>
      </c>
      <c r="B50" s="11" t="s">
        <v>41</v>
      </c>
      <c r="D50" s="47">
        <f t="shared" si="6"/>
        <v>2</v>
      </c>
      <c r="E50" s="154"/>
      <c r="F50" s="154"/>
      <c r="H50" s="280"/>
      <c r="I50" s="154">
        <v>2</v>
      </c>
      <c r="J50" s="154"/>
      <c r="K50" s="154"/>
      <c r="L50" s="154"/>
      <c r="M50" s="154"/>
      <c r="N50" s="278">
        <f t="shared" si="7"/>
        <v>0</v>
      </c>
      <c r="O50" s="120"/>
      <c r="P50" s="96">
        <f t="shared" si="8"/>
        <v>2</v>
      </c>
      <c r="Q50" s="97">
        <f t="shared" si="9"/>
        <v>2</v>
      </c>
      <c r="R50" s="154"/>
      <c r="AA50" s="68"/>
      <c r="AB50" s="68"/>
      <c r="AT50" s="74"/>
    </row>
    <row r="51" spans="1:48" x14ac:dyDescent="0.25">
      <c r="A51" s="11" t="s">
        <v>1289</v>
      </c>
      <c r="B51" s="11" t="s">
        <v>1287</v>
      </c>
      <c r="D51" s="47">
        <f t="shared" si="6"/>
        <v>2</v>
      </c>
      <c r="E51" s="108"/>
      <c r="F51" s="108"/>
      <c r="H51" s="101"/>
      <c r="I51" s="261">
        <v>2</v>
      </c>
      <c r="N51" s="278">
        <f t="shared" si="7"/>
        <v>0</v>
      </c>
      <c r="O51" s="120"/>
      <c r="P51" s="96">
        <f t="shared" si="8"/>
        <v>2</v>
      </c>
      <c r="Q51" s="97">
        <f t="shared" si="9"/>
        <v>2</v>
      </c>
      <c r="AA51" s="68"/>
      <c r="AB51" s="68"/>
      <c r="AT51" s="74"/>
    </row>
    <row r="52" spans="1:48" x14ac:dyDescent="0.25">
      <c r="A52" s="11" t="s">
        <v>1385</v>
      </c>
      <c r="B52" s="11" t="s">
        <v>63</v>
      </c>
      <c r="C52" s="3">
        <v>2018</v>
      </c>
      <c r="D52" s="47">
        <f t="shared" si="6"/>
        <v>8</v>
      </c>
      <c r="E52" s="108">
        <f>1</f>
        <v>1</v>
      </c>
      <c r="F52" s="108">
        <f>3+4</f>
        <v>7</v>
      </c>
      <c r="H52" s="101"/>
      <c r="I52" s="278"/>
      <c r="J52" s="278"/>
      <c r="K52" s="278"/>
      <c r="L52" s="278"/>
      <c r="M52" s="278"/>
      <c r="N52" s="278">
        <f t="shared" si="7"/>
        <v>0</v>
      </c>
      <c r="O52" s="120"/>
      <c r="P52" s="96">
        <f t="shared" si="8"/>
        <v>0</v>
      </c>
      <c r="Q52" s="97">
        <f t="shared" si="9"/>
        <v>0</v>
      </c>
      <c r="R52" s="278"/>
      <c r="AA52" s="68"/>
      <c r="AB52" s="68"/>
      <c r="AT52" s="74"/>
    </row>
    <row r="53" spans="1:48" x14ac:dyDescent="0.25">
      <c r="A53" s="11" t="s">
        <v>1310</v>
      </c>
      <c r="B53" s="11" t="s">
        <v>64</v>
      </c>
      <c r="C53" s="3">
        <v>2018</v>
      </c>
      <c r="D53" s="47">
        <f t="shared" si="6"/>
        <v>5</v>
      </c>
      <c r="H53" s="280"/>
      <c r="I53" s="261">
        <f>0</f>
        <v>0</v>
      </c>
      <c r="J53" s="246">
        <f>5</f>
        <v>5</v>
      </c>
      <c r="L53" s="241"/>
      <c r="M53" s="241"/>
      <c r="N53" s="278">
        <f t="shared" si="7"/>
        <v>0</v>
      </c>
      <c r="O53" s="120"/>
      <c r="P53" s="96">
        <f t="shared" si="8"/>
        <v>5</v>
      </c>
      <c r="Q53" s="97">
        <f t="shared" si="9"/>
        <v>5</v>
      </c>
      <c r="R53" s="241"/>
      <c r="S53" s="108"/>
      <c r="T53" s="108"/>
      <c r="AA53" s="96"/>
      <c r="AB53" s="97"/>
    </row>
    <row r="54" spans="1:48" x14ac:dyDescent="0.25">
      <c r="A54" s="11" t="s">
        <v>1388</v>
      </c>
      <c r="B54" s="11" t="s">
        <v>63</v>
      </c>
      <c r="C54" s="3">
        <v>2018</v>
      </c>
      <c r="D54" s="47">
        <f t="shared" si="6"/>
        <v>0</v>
      </c>
      <c r="F54" s="278">
        <f>0</f>
        <v>0</v>
      </c>
      <c r="H54" s="280"/>
      <c r="I54" s="278"/>
      <c r="J54" s="278"/>
      <c r="K54" s="278"/>
      <c r="L54" s="278"/>
      <c r="M54" s="278"/>
      <c r="N54" s="278">
        <f t="shared" si="7"/>
        <v>0</v>
      </c>
      <c r="O54" s="120"/>
      <c r="P54" s="96">
        <f t="shared" si="8"/>
        <v>0</v>
      </c>
      <c r="Q54" s="97">
        <f t="shared" si="9"/>
        <v>0</v>
      </c>
      <c r="R54" s="278"/>
      <c r="S54" s="108"/>
      <c r="T54" s="108"/>
      <c r="AA54" s="96"/>
      <c r="AB54" s="97"/>
    </row>
    <row r="55" spans="1:48" x14ac:dyDescent="0.25">
      <c r="A55" s="11" t="s">
        <v>1307</v>
      </c>
      <c r="B55" s="11" t="s">
        <v>1287</v>
      </c>
      <c r="D55" s="47">
        <f t="shared" si="6"/>
        <v>0</v>
      </c>
      <c r="E55" s="108"/>
      <c r="F55" s="108"/>
      <c r="H55" s="101"/>
      <c r="I55" s="261">
        <f>0</f>
        <v>0</v>
      </c>
      <c r="K55" s="246"/>
      <c r="L55" s="246"/>
      <c r="M55" s="246"/>
      <c r="N55" s="278">
        <f t="shared" si="7"/>
        <v>0</v>
      </c>
      <c r="O55" s="120"/>
      <c r="P55" s="96">
        <f t="shared" si="8"/>
        <v>0</v>
      </c>
      <c r="Q55" s="97">
        <f t="shared" si="9"/>
        <v>0</v>
      </c>
      <c r="R55" s="246"/>
      <c r="AA55" s="68"/>
      <c r="AB55" s="68"/>
    </row>
    <row r="56" spans="1:48" x14ac:dyDescent="0.25">
      <c r="A56" s="11" t="s">
        <v>1298</v>
      </c>
      <c r="B56" s="11" t="s">
        <v>1287</v>
      </c>
      <c r="D56" s="47">
        <f t="shared" si="6"/>
        <v>11</v>
      </c>
      <c r="H56" s="280"/>
      <c r="I56" s="261">
        <f>11</f>
        <v>11</v>
      </c>
      <c r="J56" s="261"/>
      <c r="K56" s="261"/>
      <c r="L56" s="261"/>
      <c r="M56" s="261"/>
      <c r="N56" s="278">
        <f t="shared" si="7"/>
        <v>0</v>
      </c>
      <c r="O56" s="120"/>
      <c r="P56" s="96">
        <f t="shared" si="8"/>
        <v>11</v>
      </c>
      <c r="Q56" s="97">
        <f t="shared" si="9"/>
        <v>11</v>
      </c>
      <c r="R56" s="261"/>
      <c r="AA56" s="68"/>
      <c r="AB56" s="68"/>
    </row>
    <row r="57" spans="1:48" x14ac:dyDescent="0.25">
      <c r="A57" s="11" t="s">
        <v>1296</v>
      </c>
      <c r="B57" s="11" t="s">
        <v>1287</v>
      </c>
      <c r="D57" s="47">
        <f t="shared" si="6"/>
        <v>11</v>
      </c>
      <c r="H57" s="280"/>
      <c r="I57" s="261">
        <f>11</f>
        <v>11</v>
      </c>
      <c r="L57" s="241"/>
      <c r="M57" s="241"/>
      <c r="N57" s="278">
        <f t="shared" si="7"/>
        <v>0</v>
      </c>
      <c r="O57" s="120"/>
      <c r="P57" s="96">
        <f t="shared" si="8"/>
        <v>11</v>
      </c>
      <c r="Q57" s="97">
        <f t="shared" si="9"/>
        <v>11</v>
      </c>
      <c r="R57" s="241"/>
      <c r="AA57" s="68"/>
      <c r="AB57" s="68"/>
    </row>
    <row r="58" spans="1:48" x14ac:dyDescent="0.25">
      <c r="A58" s="11" t="s">
        <v>1295</v>
      </c>
      <c r="B58" s="11" t="s">
        <v>1287</v>
      </c>
      <c r="D58" s="47">
        <f t="shared" si="6"/>
        <v>11</v>
      </c>
      <c r="H58" s="280"/>
      <c r="I58" s="261">
        <f>11</f>
        <v>11</v>
      </c>
      <c r="K58" s="246"/>
      <c r="L58" s="246"/>
      <c r="M58" s="246"/>
      <c r="N58" s="278">
        <f t="shared" si="7"/>
        <v>0</v>
      </c>
      <c r="O58" s="120"/>
      <c r="P58" s="96">
        <f t="shared" si="8"/>
        <v>11</v>
      </c>
      <c r="Q58" s="97">
        <f t="shared" si="9"/>
        <v>11</v>
      </c>
      <c r="R58" s="246"/>
      <c r="AA58" s="68"/>
      <c r="AB58" s="68"/>
    </row>
    <row r="59" spans="1:48" x14ac:dyDescent="0.25">
      <c r="A59" s="11" t="s">
        <v>1291</v>
      </c>
      <c r="B59" s="11" t="s">
        <v>1287</v>
      </c>
      <c r="D59" s="47">
        <f t="shared" si="6"/>
        <v>2</v>
      </c>
      <c r="H59" s="280"/>
      <c r="I59" s="261">
        <v>2</v>
      </c>
      <c r="N59" s="278">
        <f t="shared" si="7"/>
        <v>0</v>
      </c>
      <c r="O59" s="120"/>
      <c r="P59" s="96">
        <f t="shared" si="8"/>
        <v>2</v>
      </c>
      <c r="Q59" s="97">
        <f t="shared" si="9"/>
        <v>2</v>
      </c>
      <c r="AA59" s="68"/>
      <c r="AB59" s="68"/>
    </row>
    <row r="60" spans="1:48" x14ac:dyDescent="0.25">
      <c r="A60" s="11" t="s">
        <v>1305</v>
      </c>
      <c r="B60" s="11" t="s">
        <v>1287</v>
      </c>
      <c r="D60" s="47">
        <f t="shared" si="6"/>
        <v>0</v>
      </c>
      <c r="H60" s="280"/>
      <c r="I60" s="261">
        <f>0</f>
        <v>0</v>
      </c>
      <c r="J60" s="154"/>
      <c r="K60" s="154"/>
      <c r="L60" s="154"/>
      <c r="M60" s="154"/>
      <c r="N60" s="278">
        <f t="shared" si="7"/>
        <v>0</v>
      </c>
      <c r="O60" s="120"/>
      <c r="P60" s="96">
        <f t="shared" si="8"/>
        <v>0</v>
      </c>
      <c r="Q60" s="97">
        <f t="shared" si="9"/>
        <v>0</v>
      </c>
      <c r="R60" s="154"/>
      <c r="AA60" s="68"/>
      <c r="AB60" s="68"/>
    </row>
    <row r="61" spans="1:48" x14ac:dyDescent="0.25">
      <c r="A61" s="11" t="s">
        <v>1302</v>
      </c>
      <c r="B61" s="11" t="s">
        <v>1287</v>
      </c>
      <c r="D61" s="47">
        <f t="shared" si="6"/>
        <v>0</v>
      </c>
      <c r="I61" s="261">
        <f>0</f>
        <v>0</v>
      </c>
      <c r="J61" s="154"/>
      <c r="K61" s="154"/>
      <c r="L61" s="154"/>
      <c r="M61" s="154"/>
      <c r="N61" s="278">
        <f t="shared" si="7"/>
        <v>0</v>
      </c>
      <c r="O61" s="120"/>
      <c r="P61" s="96">
        <f t="shared" si="8"/>
        <v>0</v>
      </c>
      <c r="Q61" s="97">
        <f t="shared" si="9"/>
        <v>0</v>
      </c>
      <c r="R61" s="154"/>
      <c r="AA61" s="68"/>
      <c r="AB61" s="68"/>
    </row>
    <row r="62" spans="1:48" x14ac:dyDescent="0.25">
      <c r="A62" s="11" t="s">
        <v>1292</v>
      </c>
      <c r="B62" s="11" t="s">
        <v>41</v>
      </c>
      <c r="D62" s="47">
        <f t="shared" si="6"/>
        <v>0</v>
      </c>
      <c r="H62" s="280"/>
      <c r="I62" s="108">
        <f>0</f>
        <v>0</v>
      </c>
      <c r="J62" s="108"/>
      <c r="K62" s="108"/>
      <c r="L62" s="108"/>
      <c r="M62" s="108"/>
      <c r="N62" s="278">
        <f t="shared" si="7"/>
        <v>0</v>
      </c>
      <c r="O62" s="120"/>
      <c r="P62" s="96">
        <f t="shared" si="8"/>
        <v>0</v>
      </c>
      <c r="Q62" s="97">
        <f t="shared" si="9"/>
        <v>0</v>
      </c>
      <c r="R62" s="108"/>
      <c r="AA62" s="68"/>
      <c r="AB62" s="68"/>
    </row>
    <row r="63" spans="1:48" x14ac:dyDescent="0.25">
      <c r="A63" s="11" t="s">
        <v>1386</v>
      </c>
      <c r="B63" s="66" t="s">
        <v>36</v>
      </c>
      <c r="C63" s="3">
        <v>2020</v>
      </c>
      <c r="D63" s="47">
        <f t="shared" si="6"/>
        <v>3</v>
      </c>
      <c r="E63" s="283">
        <f>1</f>
        <v>1</v>
      </c>
      <c r="F63" s="278">
        <f>2</f>
        <v>2</v>
      </c>
      <c r="H63" s="280"/>
      <c r="I63" s="108"/>
      <c r="J63" s="108"/>
      <c r="K63" s="108"/>
      <c r="L63" s="108"/>
      <c r="M63" s="108"/>
      <c r="N63" s="278">
        <f t="shared" si="7"/>
        <v>0</v>
      </c>
      <c r="O63" s="120"/>
      <c r="P63" s="96">
        <f t="shared" si="8"/>
        <v>0</v>
      </c>
      <c r="Q63" s="97">
        <f t="shared" si="9"/>
        <v>0</v>
      </c>
      <c r="R63" s="108"/>
      <c r="AA63" s="68"/>
      <c r="AB63" s="68"/>
    </row>
    <row r="64" spans="1:48" x14ac:dyDescent="0.25">
      <c r="A64" s="11" t="s">
        <v>1308</v>
      </c>
      <c r="B64" s="11" t="s">
        <v>1287</v>
      </c>
      <c r="D64" s="47">
        <f t="shared" si="6"/>
        <v>0</v>
      </c>
      <c r="H64" s="280"/>
      <c r="I64" s="261">
        <f>0</f>
        <v>0</v>
      </c>
      <c r="N64" s="278">
        <f t="shared" si="7"/>
        <v>0</v>
      </c>
      <c r="O64" s="120"/>
      <c r="P64" s="96">
        <f t="shared" si="8"/>
        <v>0</v>
      </c>
      <c r="Q64" s="97">
        <f t="shared" si="9"/>
        <v>0</v>
      </c>
      <c r="AA64" s="68"/>
      <c r="AB64" s="68"/>
    </row>
    <row r="65" spans="1:28" x14ac:dyDescent="0.25">
      <c r="A65" s="11" t="s">
        <v>1297</v>
      </c>
      <c r="B65" s="11" t="s">
        <v>1287</v>
      </c>
      <c r="D65" s="47">
        <f t="shared" si="6"/>
        <v>11</v>
      </c>
      <c r="I65" s="261">
        <f>11</f>
        <v>11</v>
      </c>
      <c r="N65" s="278">
        <f t="shared" si="7"/>
        <v>0</v>
      </c>
      <c r="O65" s="120"/>
      <c r="P65" s="96">
        <f t="shared" si="8"/>
        <v>11</v>
      </c>
      <c r="Q65" s="97">
        <f t="shared" si="9"/>
        <v>11</v>
      </c>
      <c r="AA65" s="68"/>
      <c r="AB65" s="68"/>
    </row>
    <row r="66" spans="1:28" x14ac:dyDescent="0.25">
      <c r="A66" s="11" t="s">
        <v>1303</v>
      </c>
      <c r="B66" s="11" t="s">
        <v>1287</v>
      </c>
      <c r="D66" s="47">
        <f t="shared" si="6"/>
        <v>0</v>
      </c>
      <c r="E66" s="154"/>
      <c r="F66" s="154"/>
      <c r="H66" s="280"/>
      <c r="I66" s="261">
        <f>0</f>
        <v>0</v>
      </c>
      <c r="N66" s="278">
        <f t="shared" si="7"/>
        <v>0</v>
      </c>
      <c r="O66" s="120"/>
      <c r="P66" s="96">
        <f t="shared" si="8"/>
        <v>0</v>
      </c>
      <c r="Q66" s="97">
        <f t="shared" si="9"/>
        <v>0</v>
      </c>
      <c r="AA66" s="68"/>
      <c r="AB66" s="68"/>
    </row>
    <row r="67" spans="1:28" x14ac:dyDescent="0.25">
      <c r="A67" s="11" t="s">
        <v>1275</v>
      </c>
      <c r="B67" s="11" t="s">
        <v>85</v>
      </c>
      <c r="D67" s="47">
        <f t="shared" si="6"/>
        <v>2</v>
      </c>
      <c r="H67" s="280"/>
      <c r="J67" s="246">
        <f>2</f>
        <v>2</v>
      </c>
      <c r="N67" s="278">
        <f t="shared" si="7"/>
        <v>0</v>
      </c>
      <c r="O67" s="120"/>
      <c r="P67" s="96">
        <f t="shared" si="8"/>
        <v>2</v>
      </c>
      <c r="Q67" s="97">
        <f t="shared" si="9"/>
        <v>2</v>
      </c>
      <c r="S67" s="108"/>
      <c r="T67" s="108"/>
      <c r="AA67" s="68"/>
      <c r="AB67" s="68"/>
    </row>
    <row r="68" spans="1:28" x14ac:dyDescent="0.25">
      <c r="A68" s="11" t="s">
        <v>1290</v>
      </c>
      <c r="B68" s="11" t="s">
        <v>1287</v>
      </c>
      <c r="D68" s="47">
        <f t="shared" si="6"/>
        <v>2</v>
      </c>
      <c r="E68" s="154"/>
      <c r="F68" s="154"/>
      <c r="H68" s="280"/>
      <c r="I68" s="261">
        <v>2</v>
      </c>
      <c r="N68" s="278">
        <f t="shared" si="7"/>
        <v>0</v>
      </c>
      <c r="O68" s="120"/>
      <c r="P68" s="96">
        <f t="shared" si="8"/>
        <v>2</v>
      </c>
      <c r="Q68" s="97">
        <f t="shared" si="9"/>
        <v>2</v>
      </c>
      <c r="AA68" s="68"/>
      <c r="AB68" s="68"/>
    </row>
    <row r="69" spans="1:28" x14ac:dyDescent="0.25">
      <c r="A69" s="11" t="s">
        <v>1276</v>
      </c>
      <c r="B69" s="11" t="s">
        <v>85</v>
      </c>
      <c r="D69" s="47">
        <f t="shared" si="6"/>
        <v>0</v>
      </c>
      <c r="H69" s="280"/>
      <c r="J69" s="246">
        <f>0</f>
        <v>0</v>
      </c>
      <c r="N69" s="278">
        <f t="shared" si="7"/>
        <v>0</v>
      </c>
      <c r="O69" s="120"/>
      <c r="P69" s="96">
        <f t="shared" si="8"/>
        <v>0</v>
      </c>
      <c r="Q69" s="97">
        <f t="shared" si="9"/>
        <v>0</v>
      </c>
      <c r="S69" s="108"/>
      <c r="T69" s="108"/>
      <c r="AA69" s="68"/>
      <c r="AB69" s="68"/>
    </row>
    <row r="70" spans="1:28" x14ac:dyDescent="0.25">
      <c r="A70" s="11" t="s">
        <v>1299</v>
      </c>
      <c r="B70" s="11" t="s">
        <v>1287</v>
      </c>
      <c r="D70" s="47">
        <f t="shared" si="6"/>
        <v>0</v>
      </c>
      <c r="H70" s="280"/>
      <c r="I70" s="261">
        <f>0</f>
        <v>0</v>
      </c>
      <c r="N70" s="278">
        <f t="shared" si="7"/>
        <v>0</v>
      </c>
      <c r="O70" s="120"/>
      <c r="P70" s="96">
        <f t="shared" si="8"/>
        <v>0</v>
      </c>
      <c r="Q70" s="97">
        <f t="shared" si="9"/>
        <v>0</v>
      </c>
      <c r="AA70" s="68"/>
      <c r="AB70" s="68"/>
    </row>
    <row r="71" spans="1:28" x14ac:dyDescent="0.25">
      <c r="A71" s="11" t="s">
        <v>1389</v>
      </c>
      <c r="B71" s="11" t="s">
        <v>1369</v>
      </c>
      <c r="C71" s="3">
        <v>2018</v>
      </c>
      <c r="D71" s="47">
        <f t="shared" si="6"/>
        <v>0</v>
      </c>
      <c r="E71" s="283">
        <f>0</f>
        <v>0</v>
      </c>
      <c r="F71" s="278">
        <f>0</f>
        <v>0</v>
      </c>
      <c r="H71" s="280"/>
      <c r="I71" s="278"/>
      <c r="J71" s="278"/>
      <c r="K71" s="278"/>
      <c r="L71" s="278"/>
      <c r="M71" s="278"/>
      <c r="O71" s="120"/>
      <c r="P71" s="96"/>
      <c r="Q71" s="97"/>
      <c r="R71" s="278"/>
      <c r="AA71" s="68"/>
      <c r="AB71" s="68"/>
    </row>
    <row r="72" spans="1:28" x14ac:dyDescent="0.25">
      <c r="A72" s="11" t="s">
        <v>1301</v>
      </c>
      <c r="B72" s="11" t="s">
        <v>1287</v>
      </c>
      <c r="D72" s="47">
        <f t="shared" ref="D72:D83" si="13">Q72+F72+E72</f>
        <v>0</v>
      </c>
      <c r="E72" s="154"/>
      <c r="F72" s="154"/>
      <c r="H72" s="280"/>
      <c r="I72" s="261">
        <f>0</f>
        <v>0</v>
      </c>
      <c r="J72" s="108"/>
      <c r="K72" s="108"/>
      <c r="L72" s="108"/>
      <c r="M72" s="108"/>
      <c r="N72" s="278">
        <f t="shared" si="7"/>
        <v>0</v>
      </c>
      <c r="O72" s="120"/>
      <c r="P72" s="96">
        <f t="shared" ref="P72:P137" si="14">I72+J72+K72+L72+M72+N72</f>
        <v>0</v>
      </c>
      <c r="Q72" s="97">
        <f t="shared" ref="Q72:Q104" si="15">IF(B72=2013, P72/3,P72)+O72</f>
        <v>0</v>
      </c>
      <c r="R72" s="108"/>
      <c r="AA72" s="68"/>
      <c r="AB72" s="68"/>
    </row>
    <row r="73" spans="1:28" x14ac:dyDescent="0.25">
      <c r="A73" s="11" t="s">
        <v>1442</v>
      </c>
      <c r="B73" s="11" t="s">
        <v>41</v>
      </c>
      <c r="C73" s="3">
        <v>2020</v>
      </c>
      <c r="D73" s="47">
        <f t="shared" si="13"/>
        <v>0</v>
      </c>
      <c r="E73" s="154">
        <f>0</f>
        <v>0</v>
      </c>
      <c r="F73" s="154"/>
      <c r="H73" s="284"/>
      <c r="I73" s="283"/>
      <c r="J73" s="108"/>
      <c r="K73" s="108"/>
      <c r="L73" s="108"/>
      <c r="M73" s="108"/>
      <c r="N73" s="283"/>
      <c r="O73" s="120"/>
      <c r="P73" s="96"/>
      <c r="Q73" s="97"/>
      <c r="R73" s="108"/>
      <c r="AA73" s="68"/>
      <c r="AB73" s="68"/>
    </row>
    <row r="74" spans="1:28" x14ac:dyDescent="0.25">
      <c r="A74" s="11" t="s">
        <v>1288</v>
      </c>
      <c r="B74" s="11" t="s">
        <v>41</v>
      </c>
      <c r="C74" s="3">
        <v>2019</v>
      </c>
      <c r="D74" s="47">
        <f t="shared" si="13"/>
        <v>28</v>
      </c>
      <c r="E74" s="283">
        <f>4+3</f>
        <v>7</v>
      </c>
      <c r="F74" s="278">
        <f>5</f>
        <v>5</v>
      </c>
      <c r="H74" s="280"/>
      <c r="I74" s="261">
        <f>16</f>
        <v>16</v>
      </c>
      <c r="J74" s="261"/>
      <c r="K74" s="261"/>
      <c r="L74" s="261"/>
      <c r="M74" s="261"/>
      <c r="N74" s="278">
        <f t="shared" ref="N74:N138" si="16">AB74</f>
        <v>0</v>
      </c>
      <c r="O74" s="120"/>
      <c r="P74" s="96">
        <f t="shared" si="14"/>
        <v>16</v>
      </c>
      <c r="Q74" s="97">
        <f t="shared" si="15"/>
        <v>16</v>
      </c>
      <c r="R74" s="261"/>
      <c r="AA74" s="68"/>
      <c r="AB74" s="68"/>
    </row>
    <row r="75" spans="1:28" x14ac:dyDescent="0.25">
      <c r="A75" s="11" t="s">
        <v>1304</v>
      </c>
      <c r="B75" s="11" t="s">
        <v>1287</v>
      </c>
      <c r="D75" s="47">
        <f t="shared" si="13"/>
        <v>0</v>
      </c>
      <c r="E75" s="154"/>
      <c r="F75" s="154"/>
      <c r="H75" s="280"/>
      <c r="I75" s="261">
        <f>0</f>
        <v>0</v>
      </c>
      <c r="J75" s="261"/>
      <c r="K75" s="261"/>
      <c r="L75" s="261"/>
      <c r="M75" s="261"/>
      <c r="N75" s="278">
        <f t="shared" si="16"/>
        <v>0</v>
      </c>
      <c r="O75" s="120"/>
      <c r="P75" s="96">
        <f t="shared" si="14"/>
        <v>0</v>
      </c>
      <c r="Q75" s="97">
        <f t="shared" si="15"/>
        <v>0</v>
      </c>
      <c r="R75" s="261"/>
      <c r="AA75" s="68"/>
      <c r="AB75" s="68"/>
    </row>
    <row r="76" spans="1:28" x14ac:dyDescent="0.25">
      <c r="A76" s="11" t="s">
        <v>1294</v>
      </c>
      <c r="B76" s="11" t="s">
        <v>0</v>
      </c>
      <c r="C76" s="3">
        <v>2019</v>
      </c>
      <c r="D76" s="47">
        <f t="shared" si="13"/>
        <v>11</v>
      </c>
      <c r="E76" s="154"/>
      <c r="F76" s="154"/>
      <c r="I76" s="261">
        <f>11</f>
        <v>11</v>
      </c>
      <c r="N76" s="278">
        <f t="shared" si="16"/>
        <v>0</v>
      </c>
      <c r="O76" s="120"/>
      <c r="P76" s="96">
        <f t="shared" si="14"/>
        <v>11</v>
      </c>
      <c r="Q76" s="97">
        <f t="shared" si="15"/>
        <v>11</v>
      </c>
      <c r="AA76" s="68"/>
      <c r="AB76" s="68"/>
    </row>
    <row r="77" spans="1:28" x14ac:dyDescent="0.25">
      <c r="A77" s="11" t="s">
        <v>1441</v>
      </c>
      <c r="B77" s="11" t="s">
        <v>0</v>
      </c>
      <c r="C77" s="3">
        <v>2020</v>
      </c>
      <c r="D77" s="47">
        <f t="shared" si="13"/>
        <v>3</v>
      </c>
      <c r="E77" s="154">
        <f>3</f>
        <v>3</v>
      </c>
      <c r="F77" s="154"/>
      <c r="I77" s="283"/>
      <c r="J77" s="283"/>
      <c r="K77" s="283"/>
      <c r="L77" s="283"/>
      <c r="M77" s="283"/>
      <c r="N77" s="283"/>
      <c r="O77" s="120"/>
      <c r="P77" s="96"/>
      <c r="Q77" s="97"/>
      <c r="R77" s="283"/>
      <c r="AA77" s="68"/>
      <c r="AB77" s="68"/>
    </row>
    <row r="78" spans="1:28" x14ac:dyDescent="0.25">
      <c r="A78" s="11" t="s">
        <v>1300</v>
      </c>
      <c r="B78" s="11" t="s">
        <v>1309</v>
      </c>
      <c r="C78" s="3">
        <v>2018</v>
      </c>
      <c r="D78" s="47">
        <f t="shared" si="13"/>
        <v>2</v>
      </c>
      <c r="E78" s="108">
        <f>2</f>
        <v>2</v>
      </c>
      <c r="F78" s="108"/>
      <c r="H78" s="101"/>
      <c r="I78" s="261">
        <f>0</f>
        <v>0</v>
      </c>
      <c r="N78" s="278">
        <f t="shared" si="16"/>
        <v>0</v>
      </c>
      <c r="O78" s="120"/>
      <c r="P78" s="96">
        <f t="shared" si="14"/>
        <v>0</v>
      </c>
      <c r="Q78" s="97">
        <f t="shared" si="15"/>
        <v>0</v>
      </c>
      <c r="AA78" s="68"/>
      <c r="AB78" s="68"/>
    </row>
    <row r="79" spans="1:28" x14ac:dyDescent="0.25">
      <c r="A79" s="11" t="s">
        <v>1387</v>
      </c>
      <c r="B79" s="11" t="s">
        <v>41</v>
      </c>
      <c r="C79" s="3">
        <v>2018</v>
      </c>
      <c r="D79" s="47">
        <f t="shared" si="13"/>
        <v>4</v>
      </c>
      <c r="E79" s="108">
        <f>3</f>
        <v>3</v>
      </c>
      <c r="F79" s="108">
        <f>1</f>
        <v>1</v>
      </c>
      <c r="H79" s="101"/>
      <c r="I79" s="278"/>
      <c r="J79" s="278"/>
      <c r="K79" s="278"/>
      <c r="L79" s="278"/>
      <c r="M79" s="278"/>
      <c r="N79" s="278">
        <f t="shared" si="16"/>
        <v>0</v>
      </c>
      <c r="O79" s="120"/>
      <c r="P79" s="96">
        <f t="shared" si="14"/>
        <v>0</v>
      </c>
      <c r="Q79" s="97">
        <f t="shared" si="15"/>
        <v>0</v>
      </c>
      <c r="R79" s="278"/>
      <c r="AA79" s="68"/>
      <c r="AB79" s="68"/>
    </row>
    <row r="80" spans="1:28" x14ac:dyDescent="0.25">
      <c r="A80" s="11" t="s">
        <v>1306</v>
      </c>
      <c r="B80" s="11" t="s">
        <v>1287</v>
      </c>
      <c r="D80" s="47">
        <f t="shared" si="13"/>
        <v>0</v>
      </c>
      <c r="I80" s="261">
        <f>0</f>
        <v>0</v>
      </c>
      <c r="J80" s="154"/>
      <c r="K80" s="154"/>
      <c r="L80" s="154"/>
      <c r="M80" s="154"/>
      <c r="N80" s="278">
        <f t="shared" si="16"/>
        <v>0</v>
      </c>
      <c r="O80" s="120"/>
      <c r="P80" s="96">
        <f t="shared" si="14"/>
        <v>0</v>
      </c>
      <c r="Q80" s="97">
        <f t="shared" si="15"/>
        <v>0</v>
      </c>
      <c r="R80" s="154"/>
      <c r="AA80" s="68"/>
      <c r="AB80" s="68"/>
    </row>
    <row r="81" spans="1:46" x14ac:dyDescent="0.25">
      <c r="A81" s="11" t="s">
        <v>1396</v>
      </c>
      <c r="B81" s="11" t="s">
        <v>1287</v>
      </c>
      <c r="D81" s="47">
        <f t="shared" si="13"/>
        <v>0</v>
      </c>
      <c r="H81" s="280"/>
      <c r="I81" s="261">
        <f>0</f>
        <v>0</v>
      </c>
      <c r="L81" s="241"/>
      <c r="M81" s="241"/>
      <c r="N81" s="278">
        <f>AB81</f>
        <v>0</v>
      </c>
      <c r="O81" s="120"/>
      <c r="P81" s="96">
        <f>I81+J81+K81+L81+M81+N81</f>
        <v>0</v>
      </c>
      <c r="Q81" s="97">
        <f t="shared" si="15"/>
        <v>0</v>
      </c>
      <c r="R81" s="241"/>
      <c r="AA81" s="68"/>
      <c r="AB81" s="68"/>
      <c r="AT81" s="74"/>
    </row>
    <row r="82" spans="1:46" x14ac:dyDescent="0.25">
      <c r="A82" s="11" t="s">
        <v>1293</v>
      </c>
      <c r="B82" s="11" t="s">
        <v>1287</v>
      </c>
      <c r="D82" s="47">
        <f t="shared" si="13"/>
        <v>16</v>
      </c>
      <c r="I82" s="108">
        <f>16</f>
        <v>16</v>
      </c>
      <c r="J82" s="108"/>
      <c r="K82" s="108"/>
      <c r="L82" s="108"/>
      <c r="M82" s="108"/>
      <c r="N82" s="278">
        <f t="shared" si="16"/>
        <v>0</v>
      </c>
      <c r="O82" s="120"/>
      <c r="P82" s="96">
        <f t="shared" si="14"/>
        <v>16</v>
      </c>
      <c r="Q82" s="97">
        <f t="shared" si="15"/>
        <v>16</v>
      </c>
      <c r="R82" s="108"/>
      <c r="AA82" s="68"/>
      <c r="AB82" s="68"/>
    </row>
    <row r="83" spans="1:46" x14ac:dyDescent="0.25">
      <c r="A83" s="11" t="s">
        <v>1270</v>
      </c>
      <c r="B83" s="11" t="s">
        <v>64</v>
      </c>
      <c r="C83" s="3">
        <v>2018</v>
      </c>
      <c r="D83" s="47">
        <f t="shared" si="13"/>
        <v>8</v>
      </c>
      <c r="E83" s="154"/>
      <c r="F83" s="154"/>
      <c r="H83" s="280"/>
      <c r="J83" s="246">
        <f>8</f>
        <v>8</v>
      </c>
      <c r="N83" s="278">
        <f t="shared" si="16"/>
        <v>0</v>
      </c>
      <c r="O83" s="120"/>
      <c r="P83" s="96">
        <f t="shared" si="14"/>
        <v>8</v>
      </c>
      <c r="Q83" s="97">
        <f t="shared" si="15"/>
        <v>8</v>
      </c>
      <c r="AA83" s="68"/>
      <c r="AB83" s="68"/>
    </row>
    <row r="84" spans="1:46" x14ac:dyDescent="0.25">
      <c r="I84" s="154"/>
      <c r="J84" s="154"/>
      <c r="K84" s="154"/>
      <c r="L84" s="154"/>
      <c r="M84" s="154"/>
      <c r="N84" s="278">
        <f t="shared" si="16"/>
        <v>0</v>
      </c>
      <c r="O84" s="120"/>
      <c r="P84" s="96">
        <f t="shared" si="14"/>
        <v>0</v>
      </c>
      <c r="Q84" s="97">
        <f t="shared" si="15"/>
        <v>0</v>
      </c>
      <c r="R84" s="154"/>
      <c r="AA84" s="68"/>
      <c r="AB84" s="68"/>
    </row>
    <row r="85" spans="1:46" x14ac:dyDescent="0.25">
      <c r="E85" s="154"/>
      <c r="F85" s="154"/>
      <c r="N85" s="278">
        <f t="shared" si="16"/>
        <v>0</v>
      </c>
      <c r="O85" s="120"/>
      <c r="P85" s="96">
        <f t="shared" si="14"/>
        <v>0</v>
      </c>
      <c r="Q85" s="97">
        <f t="shared" si="15"/>
        <v>0</v>
      </c>
      <c r="AA85" s="68"/>
      <c r="AB85" s="68"/>
    </row>
    <row r="86" spans="1:46" x14ac:dyDescent="0.25">
      <c r="E86" s="108"/>
      <c r="F86" s="108"/>
      <c r="H86" s="101"/>
      <c r="N86" s="278">
        <f t="shared" si="16"/>
        <v>0</v>
      </c>
      <c r="O86" s="120"/>
      <c r="P86" s="96">
        <f t="shared" si="14"/>
        <v>0</v>
      </c>
      <c r="Q86" s="97">
        <f t="shared" si="15"/>
        <v>0</v>
      </c>
      <c r="AA86" s="68"/>
      <c r="AB86" s="68"/>
    </row>
    <row r="87" spans="1:46" x14ac:dyDescent="0.25">
      <c r="E87" s="154"/>
      <c r="F87" s="154"/>
      <c r="H87" s="280"/>
      <c r="I87" s="154"/>
      <c r="J87" s="154"/>
      <c r="K87" s="154"/>
      <c r="L87" s="154"/>
      <c r="M87" s="154"/>
      <c r="N87" s="278">
        <f t="shared" si="16"/>
        <v>0</v>
      </c>
      <c r="O87" s="120"/>
      <c r="P87" s="96">
        <f t="shared" si="14"/>
        <v>0</v>
      </c>
      <c r="Q87" s="97">
        <f t="shared" si="15"/>
        <v>0</v>
      </c>
      <c r="R87" s="154"/>
      <c r="AA87" s="68"/>
      <c r="AB87" s="68"/>
    </row>
    <row r="88" spans="1:46" x14ac:dyDescent="0.25">
      <c r="E88" s="154"/>
      <c r="F88" s="154"/>
      <c r="N88" s="278">
        <f t="shared" si="16"/>
        <v>0</v>
      </c>
      <c r="O88" s="120"/>
      <c r="P88" s="96">
        <f t="shared" si="14"/>
        <v>0</v>
      </c>
      <c r="Q88" s="97">
        <f t="shared" si="15"/>
        <v>0</v>
      </c>
      <c r="AA88" s="68"/>
      <c r="AB88" s="68"/>
    </row>
    <row r="89" spans="1:46" x14ac:dyDescent="0.25">
      <c r="H89" s="280"/>
      <c r="I89" s="154"/>
      <c r="J89" s="154"/>
      <c r="K89" s="154"/>
      <c r="L89" s="154"/>
      <c r="M89" s="154"/>
      <c r="N89" s="278">
        <f t="shared" si="16"/>
        <v>0</v>
      </c>
      <c r="O89" s="120"/>
      <c r="P89" s="96">
        <f t="shared" si="14"/>
        <v>0</v>
      </c>
      <c r="Q89" s="97">
        <f t="shared" si="15"/>
        <v>0</v>
      </c>
      <c r="R89" s="154"/>
      <c r="AA89" s="68"/>
      <c r="AB89" s="68"/>
    </row>
    <row r="90" spans="1:46" x14ac:dyDescent="0.25">
      <c r="H90" s="280"/>
      <c r="I90" s="108"/>
      <c r="J90" s="108"/>
      <c r="K90" s="108"/>
      <c r="L90" s="108"/>
      <c r="M90" s="108"/>
      <c r="N90" s="278">
        <f t="shared" si="16"/>
        <v>0</v>
      </c>
      <c r="O90" s="120"/>
      <c r="P90" s="96">
        <f t="shared" si="14"/>
        <v>0</v>
      </c>
      <c r="Q90" s="97">
        <f t="shared" si="15"/>
        <v>0</v>
      </c>
      <c r="R90" s="108"/>
      <c r="AA90" s="68"/>
      <c r="AB90" s="68"/>
    </row>
    <row r="91" spans="1:46" x14ac:dyDescent="0.25">
      <c r="E91" s="250"/>
      <c r="F91" s="250"/>
      <c r="N91" s="278">
        <f t="shared" si="16"/>
        <v>0</v>
      </c>
      <c r="O91" s="120"/>
      <c r="P91" s="96">
        <f t="shared" si="14"/>
        <v>0</v>
      </c>
      <c r="Q91" s="97">
        <f t="shared" si="15"/>
        <v>0</v>
      </c>
      <c r="AA91" s="68"/>
      <c r="AB91" s="68"/>
    </row>
    <row r="92" spans="1:46" x14ac:dyDescent="0.25">
      <c r="E92" s="154"/>
      <c r="F92" s="154"/>
      <c r="I92" s="154"/>
      <c r="J92" s="154"/>
      <c r="K92" s="154"/>
      <c r="L92" s="154"/>
      <c r="M92" s="154"/>
      <c r="N92" s="278">
        <f t="shared" si="16"/>
        <v>0</v>
      </c>
      <c r="O92" s="120"/>
      <c r="P92" s="96">
        <f t="shared" si="14"/>
        <v>0</v>
      </c>
      <c r="Q92" s="97">
        <f t="shared" si="15"/>
        <v>0</v>
      </c>
      <c r="R92" s="154"/>
      <c r="AA92" s="68"/>
      <c r="AB92" s="68"/>
    </row>
    <row r="93" spans="1:46" x14ac:dyDescent="0.25">
      <c r="H93" s="280"/>
      <c r="N93" s="278">
        <f t="shared" si="16"/>
        <v>0</v>
      </c>
      <c r="O93" s="120"/>
      <c r="P93" s="96">
        <f t="shared" si="14"/>
        <v>0</v>
      </c>
      <c r="Q93" s="97">
        <f t="shared" si="15"/>
        <v>0</v>
      </c>
      <c r="AA93" s="68"/>
      <c r="AB93" s="68"/>
    </row>
    <row r="94" spans="1:46" x14ac:dyDescent="0.25">
      <c r="E94" s="154"/>
      <c r="F94" s="154"/>
      <c r="N94" s="278">
        <f t="shared" si="16"/>
        <v>0</v>
      </c>
      <c r="O94" s="120"/>
      <c r="P94" s="96">
        <f t="shared" si="14"/>
        <v>0</v>
      </c>
      <c r="Q94" s="97">
        <f t="shared" si="15"/>
        <v>0</v>
      </c>
      <c r="AA94" s="68"/>
      <c r="AB94" s="68"/>
    </row>
    <row r="95" spans="1:46" x14ac:dyDescent="0.25">
      <c r="H95" s="280"/>
      <c r="I95" s="154"/>
      <c r="J95" s="154"/>
      <c r="K95" s="154"/>
      <c r="L95" s="154"/>
      <c r="M95" s="154"/>
      <c r="N95" s="278">
        <f t="shared" si="16"/>
        <v>0</v>
      </c>
      <c r="O95" s="120"/>
      <c r="P95" s="96">
        <f t="shared" si="14"/>
        <v>0</v>
      </c>
      <c r="Q95" s="97">
        <f t="shared" si="15"/>
        <v>0</v>
      </c>
      <c r="R95" s="154"/>
      <c r="AA95" s="68"/>
      <c r="AB95" s="68"/>
    </row>
    <row r="96" spans="1:46" x14ac:dyDescent="0.25">
      <c r="E96" s="154"/>
      <c r="F96" s="154"/>
      <c r="I96" s="154"/>
      <c r="J96" s="154"/>
      <c r="K96" s="154"/>
      <c r="L96" s="154"/>
      <c r="M96" s="154"/>
      <c r="N96" s="278">
        <f t="shared" si="16"/>
        <v>0</v>
      </c>
      <c r="O96" s="120"/>
      <c r="P96" s="96">
        <f t="shared" si="14"/>
        <v>0</v>
      </c>
      <c r="Q96" s="97">
        <f t="shared" si="15"/>
        <v>0</v>
      </c>
      <c r="R96" s="154"/>
      <c r="AA96" s="68"/>
      <c r="AB96" s="68"/>
    </row>
    <row r="97" spans="5:28" x14ac:dyDescent="0.25">
      <c r="H97" s="280"/>
      <c r="I97" s="108"/>
      <c r="J97" s="108"/>
      <c r="K97" s="108"/>
      <c r="L97" s="108"/>
      <c r="M97" s="108"/>
      <c r="N97" s="278">
        <f t="shared" si="16"/>
        <v>0</v>
      </c>
      <c r="O97" s="122"/>
      <c r="P97" s="96">
        <f t="shared" si="14"/>
        <v>0</v>
      </c>
      <c r="Q97" s="97">
        <f t="shared" si="15"/>
        <v>0</v>
      </c>
      <c r="R97" s="108"/>
      <c r="AA97" s="68"/>
      <c r="AB97" s="68"/>
    </row>
    <row r="98" spans="5:28" x14ac:dyDescent="0.25">
      <c r="E98" s="154"/>
      <c r="F98" s="154"/>
      <c r="I98" s="154"/>
      <c r="J98" s="154"/>
      <c r="K98" s="154"/>
      <c r="L98" s="154"/>
      <c r="M98" s="154"/>
      <c r="N98" s="278">
        <f t="shared" si="16"/>
        <v>0</v>
      </c>
      <c r="O98" s="152"/>
      <c r="P98" s="96">
        <f t="shared" si="14"/>
        <v>0</v>
      </c>
      <c r="Q98" s="97">
        <f t="shared" si="15"/>
        <v>0</v>
      </c>
      <c r="R98" s="154"/>
      <c r="AA98" s="68"/>
      <c r="AB98" s="68"/>
    </row>
    <row r="99" spans="5:28" x14ac:dyDescent="0.25">
      <c r="E99" s="154"/>
      <c r="F99" s="154"/>
      <c r="I99" s="154"/>
      <c r="J99" s="154"/>
      <c r="K99" s="154"/>
      <c r="L99" s="154"/>
      <c r="M99" s="154"/>
      <c r="N99" s="278">
        <f t="shared" si="16"/>
        <v>0</v>
      </c>
      <c r="O99" s="152"/>
      <c r="P99" s="96">
        <f t="shared" si="14"/>
        <v>0</v>
      </c>
      <c r="Q99" s="97">
        <f t="shared" si="15"/>
        <v>0</v>
      </c>
      <c r="R99" s="154"/>
      <c r="AA99" s="68"/>
      <c r="AB99" s="68"/>
    </row>
    <row r="100" spans="5:28" x14ac:dyDescent="0.25">
      <c r="H100" s="280"/>
      <c r="N100" s="278">
        <f t="shared" si="16"/>
        <v>0</v>
      </c>
      <c r="O100" s="120"/>
      <c r="P100" s="96">
        <f t="shared" si="14"/>
        <v>0</v>
      </c>
      <c r="Q100" s="97">
        <f t="shared" si="15"/>
        <v>0</v>
      </c>
      <c r="AA100" s="68"/>
      <c r="AB100" s="68"/>
    </row>
    <row r="101" spans="5:28" x14ac:dyDescent="0.25">
      <c r="H101" s="280"/>
      <c r="N101" s="278">
        <f t="shared" si="16"/>
        <v>0</v>
      </c>
      <c r="O101" s="120"/>
      <c r="P101" s="96">
        <f t="shared" si="14"/>
        <v>0</v>
      </c>
      <c r="Q101" s="97">
        <f t="shared" si="15"/>
        <v>0</v>
      </c>
      <c r="AA101" s="68"/>
      <c r="AB101" s="68"/>
    </row>
    <row r="102" spans="5:28" x14ac:dyDescent="0.25">
      <c r="E102" s="108"/>
      <c r="F102" s="108"/>
      <c r="H102" s="101"/>
      <c r="N102" s="278">
        <f t="shared" si="16"/>
        <v>0</v>
      </c>
      <c r="O102" s="152"/>
      <c r="P102" s="96">
        <f t="shared" si="14"/>
        <v>0</v>
      </c>
      <c r="Q102" s="97">
        <f t="shared" si="15"/>
        <v>0</v>
      </c>
      <c r="AA102" s="68"/>
      <c r="AB102" s="68"/>
    </row>
    <row r="103" spans="5:28" x14ac:dyDescent="0.25">
      <c r="E103" s="154"/>
      <c r="F103" s="154"/>
      <c r="H103" s="280"/>
      <c r="N103" s="278">
        <f t="shared" si="16"/>
        <v>0</v>
      </c>
      <c r="O103" s="152"/>
      <c r="P103" s="96">
        <f t="shared" si="14"/>
        <v>0</v>
      </c>
      <c r="Q103" s="97">
        <f t="shared" si="15"/>
        <v>0</v>
      </c>
      <c r="AA103" s="68"/>
      <c r="AB103" s="68"/>
    </row>
    <row r="104" spans="5:28" x14ac:dyDescent="0.25">
      <c r="H104" s="280"/>
      <c r="N104" s="278">
        <f t="shared" si="16"/>
        <v>0</v>
      </c>
      <c r="O104" s="120"/>
      <c r="P104" s="96">
        <f t="shared" si="14"/>
        <v>0</v>
      </c>
      <c r="Q104" s="97">
        <f t="shared" si="15"/>
        <v>0</v>
      </c>
      <c r="AA104" s="68"/>
      <c r="AB104" s="68"/>
    </row>
    <row r="105" spans="5:28" x14ac:dyDescent="0.25">
      <c r="I105" s="154"/>
      <c r="J105" s="154"/>
      <c r="K105" s="154"/>
      <c r="L105" s="154"/>
      <c r="M105" s="154"/>
      <c r="N105" s="278">
        <f t="shared" si="16"/>
        <v>0</v>
      </c>
      <c r="O105" s="152"/>
      <c r="P105" s="96">
        <f t="shared" si="14"/>
        <v>0</v>
      </c>
      <c r="Q105" s="97">
        <f t="shared" ref="Q105:Q136" si="17">IF(B105=2013, P105/3,P105)+O105</f>
        <v>0</v>
      </c>
      <c r="R105" s="154"/>
      <c r="AA105" s="68"/>
      <c r="AB105" s="68"/>
    </row>
    <row r="106" spans="5:28" x14ac:dyDescent="0.25">
      <c r="H106" s="280"/>
      <c r="N106" s="278">
        <f t="shared" si="16"/>
        <v>0</v>
      </c>
      <c r="O106" s="120"/>
      <c r="P106" s="96">
        <f t="shared" si="14"/>
        <v>0</v>
      </c>
      <c r="Q106" s="97">
        <f t="shared" si="17"/>
        <v>0</v>
      </c>
      <c r="AA106" s="68"/>
      <c r="AB106" s="68"/>
    </row>
    <row r="107" spans="5:28" x14ac:dyDescent="0.25">
      <c r="E107" s="154"/>
      <c r="F107" s="154"/>
      <c r="H107" s="280"/>
      <c r="N107" s="278">
        <f t="shared" si="16"/>
        <v>0</v>
      </c>
      <c r="O107" s="120"/>
      <c r="P107" s="96">
        <f t="shared" si="14"/>
        <v>0</v>
      </c>
      <c r="Q107" s="97">
        <f t="shared" si="17"/>
        <v>0</v>
      </c>
      <c r="AA107" s="68"/>
      <c r="AB107" s="68"/>
    </row>
    <row r="108" spans="5:28" x14ac:dyDescent="0.25">
      <c r="E108" s="154"/>
      <c r="F108" s="154"/>
      <c r="H108" s="280"/>
      <c r="N108" s="278">
        <f t="shared" si="16"/>
        <v>0</v>
      </c>
      <c r="O108" s="120"/>
      <c r="P108" s="96">
        <f t="shared" si="14"/>
        <v>0</v>
      </c>
      <c r="Q108" s="97">
        <f t="shared" si="17"/>
        <v>0</v>
      </c>
      <c r="AA108" s="68"/>
      <c r="AB108" s="68"/>
    </row>
    <row r="109" spans="5:28" x14ac:dyDescent="0.25">
      <c r="N109" s="278">
        <f t="shared" si="16"/>
        <v>0</v>
      </c>
      <c r="O109" s="152"/>
      <c r="P109" s="96">
        <f t="shared" si="14"/>
        <v>0</v>
      </c>
      <c r="Q109" s="97">
        <f t="shared" si="17"/>
        <v>0</v>
      </c>
      <c r="AA109" s="68"/>
      <c r="AB109" s="68"/>
    </row>
    <row r="110" spans="5:28" x14ac:dyDescent="0.25">
      <c r="N110" s="278">
        <f t="shared" si="16"/>
        <v>0</v>
      </c>
      <c r="O110" s="152"/>
      <c r="P110" s="96">
        <f t="shared" si="14"/>
        <v>0</v>
      </c>
      <c r="Q110" s="97">
        <f t="shared" si="17"/>
        <v>0</v>
      </c>
      <c r="AA110" s="68"/>
      <c r="AB110" s="68"/>
    </row>
    <row r="111" spans="5:28" x14ac:dyDescent="0.25">
      <c r="E111" s="154"/>
      <c r="F111" s="154"/>
      <c r="H111" s="280"/>
      <c r="N111" s="278">
        <f t="shared" si="16"/>
        <v>0</v>
      </c>
      <c r="O111" s="152"/>
      <c r="P111" s="96">
        <f t="shared" si="14"/>
        <v>0</v>
      </c>
      <c r="Q111" s="97">
        <f t="shared" si="17"/>
        <v>0</v>
      </c>
      <c r="AA111" s="68"/>
      <c r="AB111" s="68"/>
    </row>
    <row r="112" spans="5:28" x14ac:dyDescent="0.25">
      <c r="I112" s="108"/>
      <c r="J112" s="108"/>
      <c r="K112" s="108"/>
      <c r="L112" s="108"/>
      <c r="M112" s="108"/>
      <c r="N112" s="278">
        <f t="shared" si="16"/>
        <v>0</v>
      </c>
      <c r="O112" s="122"/>
      <c r="P112" s="96">
        <f t="shared" si="14"/>
        <v>0</v>
      </c>
      <c r="Q112" s="97">
        <f t="shared" si="17"/>
        <v>0</v>
      </c>
      <c r="R112" s="108"/>
      <c r="AA112" s="68"/>
      <c r="AB112" s="68"/>
    </row>
    <row r="113" spans="5:28" x14ac:dyDescent="0.25">
      <c r="E113" s="108"/>
      <c r="F113" s="108"/>
      <c r="H113" s="101"/>
      <c r="I113" s="154"/>
      <c r="J113" s="154"/>
      <c r="K113" s="154"/>
      <c r="L113" s="154"/>
      <c r="M113" s="154"/>
      <c r="N113" s="278">
        <f t="shared" si="16"/>
        <v>0</v>
      </c>
      <c r="O113" s="122"/>
      <c r="P113" s="96">
        <f t="shared" si="14"/>
        <v>0</v>
      </c>
      <c r="Q113" s="97">
        <f t="shared" si="17"/>
        <v>0</v>
      </c>
      <c r="R113" s="154"/>
      <c r="AA113" s="68"/>
      <c r="AB113" s="68"/>
    </row>
    <row r="114" spans="5:28" x14ac:dyDescent="0.25">
      <c r="N114" s="278">
        <f t="shared" si="16"/>
        <v>0</v>
      </c>
      <c r="O114" s="120"/>
      <c r="P114" s="96">
        <f t="shared" si="14"/>
        <v>0</v>
      </c>
      <c r="Q114" s="97">
        <f t="shared" si="17"/>
        <v>0</v>
      </c>
      <c r="AA114" s="68"/>
      <c r="AB114" s="68"/>
    </row>
    <row r="115" spans="5:28" x14ac:dyDescent="0.25">
      <c r="E115" s="108"/>
      <c r="F115" s="108"/>
      <c r="H115" s="101"/>
      <c r="N115" s="278">
        <f t="shared" si="16"/>
        <v>0</v>
      </c>
      <c r="O115" s="152"/>
      <c r="P115" s="96">
        <f t="shared" si="14"/>
        <v>0</v>
      </c>
      <c r="Q115" s="97">
        <f t="shared" si="17"/>
        <v>0</v>
      </c>
      <c r="AA115" s="68"/>
      <c r="AB115" s="68"/>
    </row>
    <row r="116" spans="5:28" x14ac:dyDescent="0.25">
      <c r="N116" s="278">
        <f t="shared" si="16"/>
        <v>0</v>
      </c>
      <c r="O116" s="152"/>
      <c r="P116" s="96">
        <f t="shared" si="14"/>
        <v>0</v>
      </c>
      <c r="Q116" s="97">
        <f t="shared" si="17"/>
        <v>0</v>
      </c>
      <c r="AA116" s="68"/>
      <c r="AB116" s="68"/>
    </row>
    <row r="117" spans="5:28" x14ac:dyDescent="0.25">
      <c r="E117" s="154"/>
      <c r="F117" s="154"/>
      <c r="H117" s="280"/>
      <c r="N117" s="278">
        <f t="shared" si="16"/>
        <v>0</v>
      </c>
      <c r="O117" s="120"/>
      <c r="P117" s="96">
        <f t="shared" si="14"/>
        <v>0</v>
      </c>
      <c r="Q117" s="97">
        <f t="shared" si="17"/>
        <v>0</v>
      </c>
      <c r="AA117" s="68"/>
      <c r="AB117" s="68"/>
    </row>
    <row r="118" spans="5:28" x14ac:dyDescent="0.25">
      <c r="H118" s="280"/>
      <c r="I118" s="154"/>
      <c r="J118" s="154"/>
      <c r="K118" s="154"/>
      <c r="L118" s="154"/>
      <c r="M118" s="154"/>
      <c r="N118" s="278">
        <f t="shared" si="16"/>
        <v>0</v>
      </c>
      <c r="O118" s="122"/>
      <c r="P118" s="96">
        <f t="shared" si="14"/>
        <v>0</v>
      </c>
      <c r="Q118" s="97">
        <f t="shared" si="17"/>
        <v>0</v>
      </c>
      <c r="R118" s="154"/>
      <c r="AA118" s="68"/>
      <c r="AB118" s="68"/>
    </row>
    <row r="119" spans="5:28" x14ac:dyDescent="0.25">
      <c r="H119" s="280"/>
      <c r="I119" s="154"/>
      <c r="J119" s="154"/>
      <c r="K119" s="154"/>
      <c r="L119" s="154"/>
      <c r="M119" s="154"/>
      <c r="N119" s="278">
        <f t="shared" si="16"/>
        <v>0</v>
      </c>
      <c r="O119" s="122"/>
      <c r="P119" s="96">
        <f t="shared" si="14"/>
        <v>0</v>
      </c>
      <c r="Q119" s="97">
        <f t="shared" si="17"/>
        <v>0</v>
      </c>
      <c r="R119" s="154"/>
      <c r="AA119" s="68"/>
      <c r="AB119" s="68"/>
    </row>
    <row r="120" spans="5:28" x14ac:dyDescent="0.25">
      <c r="N120" s="278">
        <f t="shared" si="16"/>
        <v>0</v>
      </c>
      <c r="O120" s="152"/>
      <c r="P120" s="96">
        <f t="shared" si="14"/>
        <v>0</v>
      </c>
      <c r="Q120" s="97">
        <f t="shared" si="17"/>
        <v>0</v>
      </c>
      <c r="AA120" s="68"/>
      <c r="AB120" s="68"/>
    </row>
    <row r="121" spans="5:28" x14ac:dyDescent="0.25">
      <c r="H121" s="280"/>
      <c r="N121" s="278">
        <f t="shared" si="16"/>
        <v>0</v>
      </c>
      <c r="O121" s="120"/>
      <c r="P121" s="96">
        <f t="shared" si="14"/>
        <v>0</v>
      </c>
      <c r="Q121" s="97">
        <f t="shared" si="17"/>
        <v>0</v>
      </c>
      <c r="AA121" s="68"/>
      <c r="AB121" s="68"/>
    </row>
    <row r="122" spans="5:28" x14ac:dyDescent="0.25">
      <c r="H122" s="280"/>
      <c r="N122" s="278">
        <f t="shared" si="16"/>
        <v>0</v>
      </c>
      <c r="O122" s="120"/>
      <c r="P122" s="96">
        <f t="shared" si="14"/>
        <v>0</v>
      </c>
      <c r="Q122" s="97">
        <f t="shared" si="17"/>
        <v>0</v>
      </c>
      <c r="AA122" s="68"/>
      <c r="AB122" s="68"/>
    </row>
    <row r="123" spans="5:28" x14ac:dyDescent="0.25">
      <c r="N123" s="278">
        <f t="shared" si="16"/>
        <v>0</v>
      </c>
      <c r="O123" s="152"/>
      <c r="P123" s="96">
        <f t="shared" si="14"/>
        <v>0</v>
      </c>
      <c r="Q123" s="97">
        <f t="shared" si="17"/>
        <v>0</v>
      </c>
      <c r="AA123" s="68"/>
      <c r="AB123" s="68"/>
    </row>
    <row r="124" spans="5:28" x14ac:dyDescent="0.25">
      <c r="E124" s="108"/>
      <c r="F124" s="108"/>
      <c r="H124" s="101"/>
      <c r="N124" s="278">
        <f t="shared" si="16"/>
        <v>0</v>
      </c>
      <c r="O124" s="120"/>
      <c r="P124" s="96">
        <f t="shared" si="14"/>
        <v>0</v>
      </c>
      <c r="Q124" s="97">
        <f t="shared" si="17"/>
        <v>0</v>
      </c>
      <c r="AA124" s="68"/>
      <c r="AB124" s="68"/>
    </row>
    <row r="125" spans="5:28" x14ac:dyDescent="0.25">
      <c r="E125" s="108"/>
      <c r="F125" s="108"/>
      <c r="H125" s="101"/>
      <c r="I125" s="154"/>
      <c r="J125" s="154"/>
      <c r="K125" s="154"/>
      <c r="L125" s="154"/>
      <c r="M125" s="154"/>
      <c r="N125" s="278">
        <f t="shared" si="16"/>
        <v>0</v>
      </c>
      <c r="O125" s="122"/>
      <c r="P125" s="96">
        <f t="shared" si="14"/>
        <v>0</v>
      </c>
      <c r="Q125" s="97">
        <f t="shared" si="17"/>
        <v>0</v>
      </c>
      <c r="R125" s="154"/>
      <c r="AA125" s="68"/>
      <c r="AB125" s="68"/>
    </row>
    <row r="126" spans="5:28" x14ac:dyDescent="0.25">
      <c r="H126" s="280"/>
      <c r="I126" s="108"/>
      <c r="J126" s="108"/>
      <c r="K126" s="108"/>
      <c r="L126" s="108"/>
      <c r="M126" s="108"/>
      <c r="N126" s="278">
        <f t="shared" si="16"/>
        <v>0</v>
      </c>
      <c r="O126" s="122"/>
      <c r="P126" s="96">
        <f t="shared" si="14"/>
        <v>0</v>
      </c>
      <c r="Q126" s="97">
        <f t="shared" si="17"/>
        <v>0</v>
      </c>
      <c r="R126" s="108"/>
      <c r="AA126" s="68"/>
      <c r="AB126" s="68"/>
    </row>
    <row r="127" spans="5:28" x14ac:dyDescent="0.25">
      <c r="H127" s="280"/>
      <c r="N127" s="278">
        <f t="shared" si="16"/>
        <v>0</v>
      </c>
      <c r="O127" s="152"/>
      <c r="P127" s="96">
        <f t="shared" si="14"/>
        <v>0</v>
      </c>
      <c r="Q127" s="97">
        <f t="shared" si="17"/>
        <v>0</v>
      </c>
      <c r="AA127" s="68"/>
      <c r="AB127" s="68"/>
    </row>
    <row r="128" spans="5:28" x14ac:dyDescent="0.25">
      <c r="H128" s="280"/>
      <c r="N128" s="278">
        <f t="shared" si="16"/>
        <v>0</v>
      </c>
      <c r="O128" s="152"/>
      <c r="P128" s="96">
        <f t="shared" si="14"/>
        <v>0</v>
      </c>
      <c r="Q128" s="97">
        <f t="shared" si="17"/>
        <v>0</v>
      </c>
      <c r="AA128" s="68"/>
      <c r="AB128" s="68"/>
    </row>
    <row r="129" spans="5:28" x14ac:dyDescent="0.25">
      <c r="H129" s="280"/>
      <c r="I129" s="154"/>
      <c r="J129" s="154"/>
      <c r="K129" s="154"/>
      <c r="L129" s="154"/>
      <c r="M129" s="154"/>
      <c r="N129" s="278">
        <f t="shared" si="16"/>
        <v>0</v>
      </c>
      <c r="O129" s="122"/>
      <c r="P129" s="96">
        <f t="shared" si="14"/>
        <v>0</v>
      </c>
      <c r="Q129" s="97">
        <f t="shared" si="17"/>
        <v>0</v>
      </c>
      <c r="R129" s="154"/>
      <c r="AA129" s="68"/>
      <c r="AB129" s="68"/>
    </row>
    <row r="130" spans="5:28" x14ac:dyDescent="0.25">
      <c r="H130" s="280"/>
      <c r="N130" s="278">
        <f t="shared" si="16"/>
        <v>0</v>
      </c>
      <c r="O130" s="152"/>
      <c r="P130" s="96">
        <f t="shared" si="14"/>
        <v>0</v>
      </c>
      <c r="Q130" s="97">
        <f t="shared" si="17"/>
        <v>0</v>
      </c>
      <c r="AA130" s="68"/>
      <c r="AB130" s="68"/>
    </row>
    <row r="131" spans="5:28" x14ac:dyDescent="0.25">
      <c r="H131" s="280"/>
      <c r="N131" s="278">
        <f t="shared" si="16"/>
        <v>0</v>
      </c>
      <c r="O131" s="120"/>
      <c r="P131" s="96">
        <f t="shared" si="14"/>
        <v>0</v>
      </c>
      <c r="Q131" s="97">
        <f t="shared" si="17"/>
        <v>0</v>
      </c>
      <c r="AA131" s="68"/>
      <c r="AB131" s="68"/>
    </row>
    <row r="132" spans="5:28" x14ac:dyDescent="0.25">
      <c r="N132" s="278">
        <f t="shared" si="16"/>
        <v>0</v>
      </c>
      <c r="O132" s="120"/>
      <c r="P132" s="96">
        <f t="shared" si="14"/>
        <v>0</v>
      </c>
      <c r="Q132" s="97">
        <f t="shared" si="17"/>
        <v>0</v>
      </c>
      <c r="AA132" s="68"/>
      <c r="AB132" s="68"/>
    </row>
    <row r="133" spans="5:28" x14ac:dyDescent="0.25">
      <c r="N133" s="278">
        <f t="shared" si="16"/>
        <v>0</v>
      </c>
      <c r="O133" s="152"/>
      <c r="P133" s="96">
        <f t="shared" si="14"/>
        <v>0</v>
      </c>
      <c r="Q133" s="97">
        <f t="shared" si="17"/>
        <v>0</v>
      </c>
      <c r="AA133" s="68"/>
      <c r="AB133" s="68"/>
    </row>
    <row r="134" spans="5:28" x14ac:dyDescent="0.25">
      <c r="N134" s="278">
        <f t="shared" si="16"/>
        <v>0</v>
      </c>
      <c r="O134" s="120"/>
      <c r="P134" s="96">
        <f t="shared" si="14"/>
        <v>0</v>
      </c>
      <c r="Q134" s="97">
        <f t="shared" si="17"/>
        <v>0</v>
      </c>
      <c r="AA134" s="68"/>
      <c r="AB134" s="68"/>
    </row>
    <row r="135" spans="5:28" x14ac:dyDescent="0.25">
      <c r="H135" s="280"/>
      <c r="N135" s="278">
        <f t="shared" si="16"/>
        <v>0</v>
      </c>
      <c r="O135" s="152"/>
      <c r="P135" s="96">
        <f t="shared" si="14"/>
        <v>0</v>
      </c>
      <c r="Q135" s="97">
        <f t="shared" si="17"/>
        <v>0</v>
      </c>
      <c r="AA135" s="68"/>
      <c r="AB135" s="68"/>
    </row>
    <row r="136" spans="5:28" x14ac:dyDescent="0.25">
      <c r="H136" s="280"/>
      <c r="N136" s="278">
        <f t="shared" si="16"/>
        <v>0</v>
      </c>
      <c r="O136" s="120"/>
      <c r="P136" s="96">
        <f t="shared" si="14"/>
        <v>0</v>
      </c>
      <c r="Q136" s="97">
        <f t="shared" si="17"/>
        <v>0</v>
      </c>
      <c r="AA136" s="68"/>
      <c r="AB136" s="68"/>
    </row>
    <row r="137" spans="5:28" x14ac:dyDescent="0.25">
      <c r="N137" s="278">
        <f t="shared" si="16"/>
        <v>0</v>
      </c>
      <c r="O137" s="152"/>
      <c r="P137" s="96">
        <f t="shared" si="14"/>
        <v>0</v>
      </c>
      <c r="Q137" s="97">
        <f t="shared" ref="Q137:Q168" si="18">IF(B137=2013, P137/3,P137)+O137</f>
        <v>0</v>
      </c>
      <c r="AA137" s="68"/>
      <c r="AB137" s="68"/>
    </row>
    <row r="138" spans="5:28" x14ac:dyDescent="0.25">
      <c r="H138" s="280"/>
      <c r="N138" s="278">
        <f t="shared" si="16"/>
        <v>0</v>
      </c>
      <c r="O138" s="152"/>
      <c r="P138" s="96">
        <f t="shared" ref="P138:P201" si="19">I138+J138+K138+L138+M138+N138</f>
        <v>0</v>
      </c>
      <c r="Q138" s="97">
        <f t="shared" si="18"/>
        <v>0</v>
      </c>
      <c r="AA138" s="68"/>
      <c r="AB138" s="68"/>
    </row>
    <row r="139" spans="5:28" x14ac:dyDescent="0.25">
      <c r="I139" s="108"/>
      <c r="J139" s="108"/>
      <c r="K139" s="108"/>
      <c r="L139" s="108"/>
      <c r="M139" s="108"/>
      <c r="N139" s="278">
        <f t="shared" ref="N139:N203" si="20">AB139</f>
        <v>0</v>
      </c>
      <c r="O139" s="122"/>
      <c r="P139" s="96">
        <f t="shared" si="19"/>
        <v>0</v>
      </c>
      <c r="Q139" s="97">
        <f t="shared" si="18"/>
        <v>0</v>
      </c>
      <c r="R139" s="108"/>
      <c r="AA139" s="68"/>
      <c r="AB139" s="68"/>
    </row>
    <row r="140" spans="5:28" x14ac:dyDescent="0.25">
      <c r="N140" s="278">
        <f t="shared" si="20"/>
        <v>0</v>
      </c>
      <c r="O140" s="152"/>
      <c r="P140" s="96">
        <f t="shared" si="19"/>
        <v>0</v>
      </c>
      <c r="Q140" s="97">
        <f t="shared" si="18"/>
        <v>0</v>
      </c>
      <c r="AA140" s="68"/>
      <c r="AB140" s="68"/>
    </row>
    <row r="141" spans="5:28" x14ac:dyDescent="0.25">
      <c r="N141" s="278">
        <f t="shared" si="20"/>
        <v>0</v>
      </c>
      <c r="O141" s="120"/>
      <c r="P141" s="96">
        <f t="shared" si="19"/>
        <v>0</v>
      </c>
      <c r="Q141" s="97">
        <f t="shared" si="18"/>
        <v>0</v>
      </c>
      <c r="AA141" s="68"/>
      <c r="AB141" s="68"/>
    </row>
    <row r="142" spans="5:28" x14ac:dyDescent="0.25">
      <c r="H142" s="280"/>
      <c r="N142" s="278">
        <f t="shared" si="20"/>
        <v>0</v>
      </c>
      <c r="O142" s="152"/>
      <c r="P142" s="96">
        <f t="shared" si="19"/>
        <v>0</v>
      </c>
      <c r="Q142" s="97">
        <f t="shared" si="18"/>
        <v>0</v>
      </c>
      <c r="AA142" s="68"/>
      <c r="AB142" s="68"/>
    </row>
    <row r="143" spans="5:28" x14ac:dyDescent="0.25">
      <c r="H143" s="280"/>
      <c r="N143" s="278">
        <f t="shared" si="20"/>
        <v>0</v>
      </c>
      <c r="O143" s="152"/>
      <c r="P143" s="96">
        <f t="shared" si="19"/>
        <v>0</v>
      </c>
      <c r="Q143" s="97">
        <f t="shared" si="18"/>
        <v>0</v>
      </c>
      <c r="AA143" s="68"/>
      <c r="AB143" s="68"/>
    </row>
    <row r="144" spans="5:28" x14ac:dyDescent="0.25">
      <c r="E144" s="154"/>
      <c r="F144" s="154"/>
      <c r="H144" s="280"/>
      <c r="N144" s="278">
        <f t="shared" si="20"/>
        <v>0</v>
      </c>
      <c r="O144" s="120"/>
      <c r="P144" s="96">
        <f t="shared" si="19"/>
        <v>0</v>
      </c>
      <c r="Q144" s="97">
        <f t="shared" si="18"/>
        <v>0</v>
      </c>
      <c r="AA144" s="68"/>
      <c r="AB144" s="68"/>
    </row>
    <row r="145" spans="5:28" x14ac:dyDescent="0.25">
      <c r="N145" s="278">
        <f t="shared" si="20"/>
        <v>0</v>
      </c>
      <c r="O145" s="152"/>
      <c r="P145" s="96">
        <f t="shared" si="19"/>
        <v>0</v>
      </c>
      <c r="Q145" s="97">
        <f t="shared" si="18"/>
        <v>0</v>
      </c>
      <c r="AA145" s="68"/>
      <c r="AB145" s="68"/>
    </row>
    <row r="146" spans="5:28" x14ac:dyDescent="0.25">
      <c r="E146" s="108"/>
      <c r="F146" s="108"/>
      <c r="N146" s="278">
        <f t="shared" si="20"/>
        <v>0</v>
      </c>
      <c r="O146" s="152"/>
      <c r="P146" s="96">
        <f t="shared" si="19"/>
        <v>0</v>
      </c>
      <c r="Q146" s="97">
        <f t="shared" si="18"/>
        <v>0</v>
      </c>
      <c r="AA146" s="68"/>
      <c r="AB146" s="68"/>
    </row>
    <row r="147" spans="5:28" x14ac:dyDescent="0.25">
      <c r="E147" s="108"/>
      <c r="F147" s="108"/>
      <c r="N147" s="278">
        <f t="shared" si="20"/>
        <v>0</v>
      </c>
      <c r="O147" s="152"/>
      <c r="P147" s="96">
        <f t="shared" si="19"/>
        <v>0</v>
      </c>
      <c r="Q147" s="97">
        <f t="shared" si="18"/>
        <v>0</v>
      </c>
      <c r="AA147" s="68"/>
      <c r="AB147" s="68"/>
    </row>
    <row r="148" spans="5:28" x14ac:dyDescent="0.25">
      <c r="H148" s="280"/>
      <c r="N148" s="278">
        <f t="shared" si="20"/>
        <v>0</v>
      </c>
      <c r="O148" s="120"/>
      <c r="P148" s="96">
        <f t="shared" si="19"/>
        <v>0</v>
      </c>
      <c r="Q148" s="97">
        <f t="shared" si="18"/>
        <v>0</v>
      </c>
      <c r="AA148" s="68"/>
      <c r="AB148" s="68"/>
    </row>
    <row r="149" spans="5:28" x14ac:dyDescent="0.25">
      <c r="E149" s="154"/>
      <c r="F149" s="154"/>
      <c r="H149" s="280"/>
      <c r="N149" s="278">
        <f t="shared" si="20"/>
        <v>0</v>
      </c>
      <c r="O149" s="120"/>
      <c r="P149" s="96">
        <f t="shared" si="19"/>
        <v>0</v>
      </c>
      <c r="Q149" s="97">
        <f t="shared" si="18"/>
        <v>0</v>
      </c>
      <c r="AA149" s="68"/>
      <c r="AB149" s="68"/>
    </row>
    <row r="150" spans="5:28" x14ac:dyDescent="0.25">
      <c r="H150" s="280"/>
      <c r="N150" s="278">
        <f t="shared" si="20"/>
        <v>0</v>
      </c>
      <c r="O150" s="120"/>
      <c r="P150" s="96">
        <f t="shared" si="19"/>
        <v>0</v>
      </c>
      <c r="Q150" s="97">
        <f t="shared" si="18"/>
        <v>0</v>
      </c>
      <c r="AA150" s="68"/>
      <c r="AB150" s="68"/>
    </row>
    <row r="151" spans="5:28" x14ac:dyDescent="0.25">
      <c r="H151" s="280"/>
      <c r="N151" s="278">
        <f t="shared" si="20"/>
        <v>0</v>
      </c>
      <c r="O151" s="152"/>
      <c r="P151" s="96">
        <f t="shared" si="19"/>
        <v>0</v>
      </c>
      <c r="Q151" s="97">
        <f t="shared" si="18"/>
        <v>0</v>
      </c>
      <c r="AA151" s="68"/>
      <c r="AB151" s="68"/>
    </row>
    <row r="152" spans="5:28" x14ac:dyDescent="0.25">
      <c r="H152" s="280"/>
      <c r="N152" s="278">
        <f t="shared" si="20"/>
        <v>0</v>
      </c>
      <c r="O152" s="152"/>
      <c r="P152" s="96">
        <f t="shared" si="19"/>
        <v>0</v>
      </c>
      <c r="Q152" s="97">
        <f t="shared" si="18"/>
        <v>0</v>
      </c>
      <c r="AA152" s="68"/>
      <c r="AB152" s="68"/>
    </row>
    <row r="153" spans="5:28" x14ac:dyDescent="0.25">
      <c r="E153" s="154"/>
      <c r="F153" s="154"/>
      <c r="H153" s="280"/>
      <c r="N153" s="278">
        <f t="shared" si="20"/>
        <v>0</v>
      </c>
      <c r="O153" s="120"/>
      <c r="P153" s="96">
        <f t="shared" si="19"/>
        <v>0</v>
      </c>
      <c r="Q153" s="97">
        <f t="shared" si="18"/>
        <v>0</v>
      </c>
      <c r="AA153" s="68"/>
      <c r="AB153" s="68"/>
    </row>
    <row r="154" spans="5:28" x14ac:dyDescent="0.25">
      <c r="H154" s="280"/>
      <c r="N154" s="278">
        <f t="shared" si="20"/>
        <v>0</v>
      </c>
      <c r="O154" s="152"/>
      <c r="P154" s="96">
        <f t="shared" si="19"/>
        <v>0</v>
      </c>
      <c r="Q154" s="97">
        <f t="shared" si="18"/>
        <v>0</v>
      </c>
      <c r="AA154" s="68"/>
      <c r="AB154" s="68"/>
    </row>
    <row r="155" spans="5:28" x14ac:dyDescent="0.25">
      <c r="N155" s="278">
        <f t="shared" si="20"/>
        <v>0</v>
      </c>
      <c r="O155" s="152"/>
      <c r="P155" s="96">
        <f t="shared" si="19"/>
        <v>0</v>
      </c>
      <c r="Q155" s="97">
        <f t="shared" si="18"/>
        <v>0</v>
      </c>
      <c r="AA155" s="68"/>
      <c r="AB155" s="68"/>
    </row>
    <row r="156" spans="5:28" x14ac:dyDescent="0.25">
      <c r="H156" s="280"/>
      <c r="N156" s="278">
        <f t="shared" si="20"/>
        <v>0</v>
      </c>
      <c r="O156" s="152"/>
      <c r="P156" s="96">
        <f t="shared" si="19"/>
        <v>0</v>
      </c>
      <c r="Q156" s="97">
        <f t="shared" si="18"/>
        <v>0</v>
      </c>
      <c r="AA156" s="68"/>
      <c r="AB156" s="68"/>
    </row>
    <row r="157" spans="5:28" x14ac:dyDescent="0.25">
      <c r="N157" s="278">
        <f t="shared" si="20"/>
        <v>0</v>
      </c>
      <c r="O157" s="120"/>
      <c r="P157" s="96">
        <f t="shared" si="19"/>
        <v>0</v>
      </c>
      <c r="Q157" s="97">
        <f t="shared" si="18"/>
        <v>0</v>
      </c>
      <c r="AA157" s="68"/>
      <c r="AB157" s="68"/>
    </row>
    <row r="158" spans="5:28" x14ac:dyDescent="0.25">
      <c r="H158" s="280"/>
      <c r="N158" s="278">
        <f t="shared" si="20"/>
        <v>0</v>
      </c>
      <c r="O158" s="120"/>
      <c r="P158" s="96">
        <f t="shared" si="19"/>
        <v>0</v>
      </c>
      <c r="Q158" s="97">
        <f t="shared" si="18"/>
        <v>0</v>
      </c>
      <c r="AA158" s="68"/>
      <c r="AB158" s="68"/>
    </row>
    <row r="159" spans="5:28" x14ac:dyDescent="0.25">
      <c r="H159" s="280"/>
      <c r="N159" s="278">
        <f t="shared" si="20"/>
        <v>0</v>
      </c>
      <c r="O159" s="152"/>
      <c r="P159" s="96">
        <f t="shared" si="19"/>
        <v>0</v>
      </c>
      <c r="Q159" s="97">
        <f t="shared" si="18"/>
        <v>0</v>
      </c>
      <c r="AA159" s="68"/>
      <c r="AB159" s="68"/>
    </row>
    <row r="160" spans="5:28" x14ac:dyDescent="0.25">
      <c r="E160" s="108"/>
      <c r="F160" s="108"/>
      <c r="H160" s="101"/>
      <c r="N160" s="278">
        <f t="shared" si="20"/>
        <v>0</v>
      </c>
      <c r="O160" s="120"/>
      <c r="P160" s="96">
        <f t="shared" si="19"/>
        <v>0</v>
      </c>
      <c r="Q160" s="97">
        <f t="shared" si="18"/>
        <v>0</v>
      </c>
      <c r="AA160" s="68"/>
      <c r="AB160" s="68"/>
    </row>
    <row r="161" spans="5:28" x14ac:dyDescent="0.25">
      <c r="H161" s="280"/>
      <c r="N161" s="278">
        <f t="shared" si="20"/>
        <v>0</v>
      </c>
      <c r="O161" s="152"/>
      <c r="P161" s="96">
        <f t="shared" si="19"/>
        <v>0</v>
      </c>
      <c r="Q161" s="97">
        <f t="shared" si="18"/>
        <v>0</v>
      </c>
      <c r="AA161" s="68"/>
      <c r="AB161" s="68"/>
    </row>
    <row r="162" spans="5:28" x14ac:dyDescent="0.25">
      <c r="N162" s="278">
        <f t="shared" si="20"/>
        <v>0</v>
      </c>
      <c r="O162" s="120"/>
      <c r="P162" s="96">
        <f t="shared" si="19"/>
        <v>0</v>
      </c>
      <c r="Q162" s="97">
        <f t="shared" si="18"/>
        <v>0</v>
      </c>
      <c r="AA162" s="68"/>
      <c r="AB162" s="68"/>
    </row>
    <row r="163" spans="5:28" x14ac:dyDescent="0.25">
      <c r="E163" s="108"/>
      <c r="F163" s="108"/>
      <c r="H163" s="101"/>
      <c r="I163" s="154"/>
      <c r="J163" s="154"/>
      <c r="K163" s="154"/>
      <c r="L163" s="154"/>
      <c r="M163" s="154"/>
      <c r="N163" s="278">
        <f t="shared" si="20"/>
        <v>0</v>
      </c>
      <c r="O163" s="122"/>
      <c r="P163" s="96">
        <f t="shared" si="19"/>
        <v>0</v>
      </c>
      <c r="Q163" s="97">
        <f t="shared" si="18"/>
        <v>0</v>
      </c>
      <c r="R163" s="154"/>
      <c r="AA163" s="68"/>
      <c r="AB163" s="68"/>
    </row>
    <row r="164" spans="5:28" x14ac:dyDescent="0.25">
      <c r="N164" s="278">
        <f t="shared" si="20"/>
        <v>0</v>
      </c>
      <c r="O164" s="120"/>
      <c r="P164" s="96">
        <f t="shared" si="19"/>
        <v>0</v>
      </c>
      <c r="Q164" s="97">
        <f t="shared" si="18"/>
        <v>0</v>
      </c>
      <c r="AA164" s="68"/>
      <c r="AB164" s="68"/>
    </row>
    <row r="165" spans="5:28" x14ac:dyDescent="0.25">
      <c r="E165" s="154"/>
      <c r="F165" s="154"/>
      <c r="H165" s="280"/>
      <c r="N165" s="278">
        <f t="shared" si="20"/>
        <v>0</v>
      </c>
      <c r="O165" s="120"/>
      <c r="P165" s="96">
        <f t="shared" si="19"/>
        <v>0</v>
      </c>
      <c r="Q165" s="97">
        <f t="shared" si="18"/>
        <v>0</v>
      </c>
      <c r="AA165" s="68"/>
      <c r="AB165" s="68"/>
    </row>
    <row r="166" spans="5:28" x14ac:dyDescent="0.25">
      <c r="E166" s="154"/>
      <c r="F166" s="154"/>
      <c r="N166" s="278">
        <f t="shared" si="20"/>
        <v>0</v>
      </c>
      <c r="O166" s="152"/>
      <c r="P166" s="96">
        <f t="shared" si="19"/>
        <v>0</v>
      </c>
      <c r="Q166" s="97">
        <f t="shared" si="18"/>
        <v>0</v>
      </c>
      <c r="AA166" s="68"/>
      <c r="AB166" s="68"/>
    </row>
    <row r="167" spans="5:28" x14ac:dyDescent="0.25">
      <c r="H167" s="280"/>
      <c r="I167" s="154"/>
      <c r="J167" s="154"/>
      <c r="K167" s="154"/>
      <c r="L167" s="154"/>
      <c r="M167" s="154"/>
      <c r="N167" s="278">
        <f t="shared" si="20"/>
        <v>0</v>
      </c>
      <c r="O167" s="122"/>
      <c r="P167" s="96">
        <f t="shared" si="19"/>
        <v>0</v>
      </c>
      <c r="Q167" s="97">
        <f t="shared" si="18"/>
        <v>0</v>
      </c>
      <c r="R167" s="154"/>
      <c r="AA167" s="68"/>
      <c r="AB167" s="68"/>
    </row>
    <row r="168" spans="5:28" x14ac:dyDescent="0.25">
      <c r="H168" s="280"/>
      <c r="N168" s="278">
        <f>AB168</f>
        <v>0</v>
      </c>
      <c r="O168" s="120"/>
      <c r="P168" s="96">
        <f t="shared" si="19"/>
        <v>0</v>
      </c>
      <c r="Q168" s="97">
        <f t="shared" si="18"/>
        <v>0</v>
      </c>
      <c r="AA168" s="68"/>
      <c r="AB168" s="68"/>
    </row>
    <row r="169" spans="5:28" x14ac:dyDescent="0.25">
      <c r="H169" s="280"/>
      <c r="N169" s="278">
        <f t="shared" si="20"/>
        <v>0</v>
      </c>
      <c r="O169" s="152"/>
      <c r="P169" s="96">
        <f t="shared" si="19"/>
        <v>0</v>
      </c>
      <c r="Q169" s="97">
        <f t="shared" ref="Q169:Q200" si="21">IF(B169=2013, P169/3,P169)+O169</f>
        <v>0</v>
      </c>
      <c r="AA169" s="68"/>
      <c r="AB169" s="68"/>
    </row>
    <row r="170" spans="5:28" x14ac:dyDescent="0.25">
      <c r="H170" s="280"/>
      <c r="N170" s="278">
        <f t="shared" si="20"/>
        <v>0</v>
      </c>
      <c r="O170" s="120"/>
      <c r="P170" s="96">
        <f t="shared" si="19"/>
        <v>0</v>
      </c>
      <c r="Q170" s="97">
        <f t="shared" si="21"/>
        <v>0</v>
      </c>
      <c r="AA170" s="68"/>
      <c r="AB170" s="68"/>
    </row>
    <row r="171" spans="5:28" x14ac:dyDescent="0.25">
      <c r="H171" s="280"/>
      <c r="N171" s="278">
        <f t="shared" si="20"/>
        <v>0</v>
      </c>
      <c r="O171" s="120"/>
      <c r="P171" s="96">
        <f t="shared" si="19"/>
        <v>0</v>
      </c>
      <c r="Q171" s="97">
        <f t="shared" si="21"/>
        <v>0</v>
      </c>
      <c r="AA171" s="68"/>
      <c r="AB171" s="68"/>
    </row>
    <row r="172" spans="5:28" x14ac:dyDescent="0.25">
      <c r="N172" s="278">
        <f t="shared" si="20"/>
        <v>0</v>
      </c>
      <c r="O172" s="120"/>
      <c r="P172" s="96">
        <f t="shared" si="19"/>
        <v>0</v>
      </c>
      <c r="Q172" s="97">
        <f t="shared" si="21"/>
        <v>0</v>
      </c>
      <c r="AA172" s="68"/>
      <c r="AB172" s="68"/>
    </row>
    <row r="173" spans="5:28" x14ac:dyDescent="0.25">
      <c r="E173" s="108"/>
      <c r="F173" s="108"/>
      <c r="H173" s="101"/>
      <c r="N173" s="278">
        <f t="shared" si="20"/>
        <v>0</v>
      </c>
      <c r="O173" s="120"/>
      <c r="P173" s="96">
        <f t="shared" si="19"/>
        <v>0</v>
      </c>
      <c r="Q173" s="97">
        <f t="shared" si="21"/>
        <v>0</v>
      </c>
      <c r="AA173" s="68"/>
      <c r="AB173" s="68"/>
    </row>
    <row r="174" spans="5:28" x14ac:dyDescent="0.25">
      <c r="H174" s="280"/>
      <c r="N174" s="278">
        <f t="shared" si="20"/>
        <v>0</v>
      </c>
      <c r="O174" s="120"/>
      <c r="P174" s="96">
        <f t="shared" si="19"/>
        <v>0</v>
      </c>
      <c r="Q174" s="97">
        <f t="shared" si="21"/>
        <v>0</v>
      </c>
      <c r="AA174" s="68"/>
      <c r="AB174" s="68"/>
    </row>
    <row r="175" spans="5:28" x14ac:dyDescent="0.25">
      <c r="H175" s="280"/>
      <c r="I175" s="154"/>
      <c r="J175" s="154"/>
      <c r="K175" s="154"/>
      <c r="L175" s="154"/>
      <c r="M175" s="154"/>
      <c r="N175" s="278">
        <f t="shared" si="20"/>
        <v>0</v>
      </c>
      <c r="O175" s="122"/>
      <c r="P175" s="96">
        <f t="shared" si="19"/>
        <v>0</v>
      </c>
      <c r="Q175" s="97">
        <f t="shared" si="21"/>
        <v>0</v>
      </c>
      <c r="R175" s="154"/>
      <c r="AA175" s="68"/>
      <c r="AB175" s="68"/>
    </row>
    <row r="176" spans="5:28" x14ac:dyDescent="0.25">
      <c r="E176" s="108"/>
      <c r="F176" s="108"/>
      <c r="H176" s="101"/>
      <c r="N176" s="278">
        <f t="shared" si="20"/>
        <v>0</v>
      </c>
      <c r="O176" s="152"/>
      <c r="P176" s="96">
        <f t="shared" si="19"/>
        <v>0</v>
      </c>
      <c r="Q176" s="97">
        <f t="shared" si="21"/>
        <v>0</v>
      </c>
      <c r="AA176" s="68"/>
      <c r="AB176" s="68"/>
    </row>
    <row r="177" spans="5:28" x14ac:dyDescent="0.25">
      <c r="N177" s="278">
        <f t="shared" si="20"/>
        <v>0</v>
      </c>
      <c r="O177" s="120"/>
      <c r="P177" s="96">
        <f t="shared" si="19"/>
        <v>0</v>
      </c>
      <c r="Q177" s="97">
        <f t="shared" si="21"/>
        <v>0</v>
      </c>
      <c r="AA177" s="68"/>
      <c r="AB177" s="68"/>
    </row>
    <row r="178" spans="5:28" x14ac:dyDescent="0.25">
      <c r="H178" s="280"/>
      <c r="N178" s="278">
        <f t="shared" si="20"/>
        <v>0</v>
      </c>
      <c r="O178" s="152"/>
      <c r="P178" s="96">
        <f t="shared" si="19"/>
        <v>0</v>
      </c>
      <c r="Q178" s="97">
        <f t="shared" si="21"/>
        <v>0</v>
      </c>
      <c r="AA178" s="68"/>
      <c r="AB178" s="68"/>
    </row>
    <row r="179" spans="5:28" x14ac:dyDescent="0.25">
      <c r="N179" s="278">
        <f t="shared" si="20"/>
        <v>0</v>
      </c>
      <c r="O179" s="152"/>
      <c r="P179" s="96">
        <f t="shared" si="19"/>
        <v>0</v>
      </c>
      <c r="Q179" s="97">
        <f t="shared" si="21"/>
        <v>0</v>
      </c>
      <c r="AA179" s="68"/>
      <c r="AB179" s="68"/>
    </row>
    <row r="180" spans="5:28" x14ac:dyDescent="0.25">
      <c r="N180" s="278">
        <f t="shared" si="20"/>
        <v>0</v>
      </c>
      <c r="O180" s="152"/>
      <c r="P180" s="96">
        <f t="shared" si="19"/>
        <v>0</v>
      </c>
      <c r="Q180" s="97">
        <f t="shared" si="21"/>
        <v>0</v>
      </c>
      <c r="AA180" s="68"/>
      <c r="AB180" s="68"/>
    </row>
    <row r="181" spans="5:28" x14ac:dyDescent="0.25">
      <c r="H181" s="280"/>
      <c r="N181" s="278">
        <f t="shared" si="20"/>
        <v>0</v>
      </c>
      <c r="O181" s="152"/>
      <c r="P181" s="96">
        <f t="shared" si="19"/>
        <v>0</v>
      </c>
      <c r="Q181" s="97">
        <f t="shared" si="21"/>
        <v>0</v>
      </c>
      <c r="AA181" s="68"/>
      <c r="AB181" s="68"/>
    </row>
    <row r="182" spans="5:28" x14ac:dyDescent="0.25">
      <c r="N182" s="278">
        <f t="shared" si="20"/>
        <v>0</v>
      </c>
      <c r="O182" s="152"/>
      <c r="P182" s="96">
        <f t="shared" si="19"/>
        <v>0</v>
      </c>
      <c r="Q182" s="97">
        <f t="shared" si="21"/>
        <v>0</v>
      </c>
      <c r="AA182" s="68"/>
      <c r="AB182" s="68"/>
    </row>
    <row r="183" spans="5:28" x14ac:dyDescent="0.25">
      <c r="E183" s="154"/>
      <c r="F183" s="154"/>
      <c r="H183" s="280"/>
      <c r="N183" s="278">
        <f t="shared" si="20"/>
        <v>0</v>
      </c>
      <c r="O183" s="120"/>
      <c r="P183" s="96">
        <f t="shared" si="19"/>
        <v>0</v>
      </c>
      <c r="Q183" s="97">
        <f t="shared" si="21"/>
        <v>0</v>
      </c>
      <c r="AA183" s="68"/>
      <c r="AB183" s="68"/>
    </row>
    <row r="184" spans="5:28" x14ac:dyDescent="0.25">
      <c r="N184" s="278">
        <f t="shared" si="20"/>
        <v>0</v>
      </c>
      <c r="O184" s="120"/>
      <c r="P184" s="96">
        <f t="shared" si="19"/>
        <v>0</v>
      </c>
      <c r="Q184" s="97">
        <f t="shared" si="21"/>
        <v>0</v>
      </c>
      <c r="AA184" s="68"/>
      <c r="AB184" s="68"/>
    </row>
    <row r="185" spans="5:28" x14ac:dyDescent="0.25">
      <c r="H185" s="280"/>
      <c r="N185" s="278">
        <f t="shared" si="20"/>
        <v>0</v>
      </c>
      <c r="O185" s="152"/>
      <c r="P185" s="96">
        <f t="shared" si="19"/>
        <v>0</v>
      </c>
      <c r="Q185" s="97">
        <f t="shared" si="21"/>
        <v>0</v>
      </c>
      <c r="AA185" s="68"/>
      <c r="AB185" s="68"/>
    </row>
    <row r="186" spans="5:28" x14ac:dyDescent="0.25">
      <c r="H186" s="280"/>
      <c r="I186" s="154"/>
      <c r="J186" s="154"/>
      <c r="K186" s="154"/>
      <c r="L186" s="154"/>
      <c r="M186" s="154"/>
      <c r="N186" s="278">
        <f t="shared" si="20"/>
        <v>0</v>
      </c>
      <c r="O186" s="152"/>
      <c r="P186" s="96">
        <f t="shared" si="19"/>
        <v>0</v>
      </c>
      <c r="Q186" s="97">
        <f t="shared" si="21"/>
        <v>0</v>
      </c>
      <c r="R186" s="154"/>
      <c r="AA186" s="68"/>
      <c r="AB186" s="68"/>
    </row>
    <row r="187" spans="5:28" x14ac:dyDescent="0.25">
      <c r="H187" s="280"/>
      <c r="N187" s="278">
        <f t="shared" si="20"/>
        <v>0</v>
      </c>
      <c r="O187" s="120"/>
      <c r="P187" s="96">
        <f t="shared" si="19"/>
        <v>0</v>
      </c>
      <c r="Q187" s="97">
        <f t="shared" si="21"/>
        <v>0</v>
      </c>
      <c r="AA187" s="68"/>
      <c r="AB187" s="68"/>
    </row>
    <row r="188" spans="5:28" x14ac:dyDescent="0.25">
      <c r="H188" s="280"/>
      <c r="N188" s="278">
        <f t="shared" si="20"/>
        <v>0</v>
      </c>
      <c r="O188" s="152"/>
      <c r="P188" s="96">
        <f t="shared" si="19"/>
        <v>0</v>
      </c>
      <c r="Q188" s="97">
        <f t="shared" si="21"/>
        <v>0</v>
      </c>
      <c r="AA188" s="68"/>
      <c r="AB188" s="68"/>
    </row>
    <row r="189" spans="5:28" x14ac:dyDescent="0.25">
      <c r="N189" s="278">
        <f t="shared" si="20"/>
        <v>0</v>
      </c>
      <c r="O189" s="120"/>
      <c r="P189" s="96">
        <f t="shared" si="19"/>
        <v>0</v>
      </c>
      <c r="Q189" s="97">
        <f t="shared" si="21"/>
        <v>0</v>
      </c>
      <c r="AA189" s="68"/>
      <c r="AB189" s="68"/>
    </row>
    <row r="190" spans="5:28" x14ac:dyDescent="0.25">
      <c r="E190" s="108"/>
      <c r="F190" s="108"/>
      <c r="H190" s="101"/>
      <c r="N190" s="278">
        <f t="shared" si="20"/>
        <v>0</v>
      </c>
      <c r="O190" s="152"/>
      <c r="P190" s="96">
        <f t="shared" si="19"/>
        <v>0</v>
      </c>
      <c r="Q190" s="97">
        <f t="shared" si="21"/>
        <v>0</v>
      </c>
      <c r="AA190" s="68"/>
      <c r="AB190" s="68"/>
    </row>
    <row r="191" spans="5:28" x14ac:dyDescent="0.25">
      <c r="H191" s="280"/>
      <c r="N191" s="278">
        <f t="shared" si="20"/>
        <v>0</v>
      </c>
      <c r="O191" s="152"/>
      <c r="P191" s="96">
        <f t="shared" si="19"/>
        <v>0</v>
      </c>
      <c r="Q191" s="97">
        <f t="shared" si="21"/>
        <v>0</v>
      </c>
      <c r="AA191" s="68"/>
      <c r="AB191" s="68"/>
    </row>
    <row r="192" spans="5:28" x14ac:dyDescent="0.25">
      <c r="H192" s="280"/>
      <c r="N192" s="278">
        <f t="shared" si="20"/>
        <v>0</v>
      </c>
      <c r="O192" s="152"/>
      <c r="P192" s="96">
        <f t="shared" si="19"/>
        <v>0</v>
      </c>
      <c r="Q192" s="97">
        <f t="shared" si="21"/>
        <v>0</v>
      </c>
      <c r="AA192" s="68"/>
      <c r="AB192" s="68"/>
    </row>
    <row r="193" spans="5:28" x14ac:dyDescent="0.25">
      <c r="E193" s="154"/>
      <c r="F193" s="154"/>
      <c r="H193" s="280"/>
      <c r="N193" s="278">
        <f t="shared" si="20"/>
        <v>0</v>
      </c>
      <c r="O193" s="120"/>
      <c r="P193" s="96">
        <f t="shared" si="19"/>
        <v>0</v>
      </c>
      <c r="Q193" s="97">
        <f t="shared" si="21"/>
        <v>0</v>
      </c>
      <c r="AA193" s="68"/>
      <c r="AB193" s="68"/>
    </row>
    <row r="194" spans="5:28" x14ac:dyDescent="0.25">
      <c r="H194" s="280"/>
      <c r="N194" s="278">
        <f t="shared" si="20"/>
        <v>0</v>
      </c>
      <c r="O194" s="152"/>
      <c r="P194" s="96">
        <f t="shared" si="19"/>
        <v>0</v>
      </c>
      <c r="Q194" s="97">
        <f t="shared" si="21"/>
        <v>0</v>
      </c>
      <c r="AA194" s="68"/>
      <c r="AB194" s="68"/>
    </row>
    <row r="195" spans="5:28" x14ac:dyDescent="0.25">
      <c r="H195" s="280"/>
      <c r="N195" s="278">
        <f t="shared" si="20"/>
        <v>0</v>
      </c>
      <c r="O195" s="152"/>
      <c r="P195" s="96">
        <f t="shared" si="19"/>
        <v>0</v>
      </c>
      <c r="Q195" s="97">
        <f t="shared" si="21"/>
        <v>0</v>
      </c>
      <c r="AA195" s="68"/>
      <c r="AB195" s="68"/>
    </row>
    <row r="196" spans="5:28" x14ac:dyDescent="0.25">
      <c r="E196" s="154"/>
      <c r="F196" s="154"/>
      <c r="H196" s="280"/>
      <c r="I196" s="108"/>
      <c r="J196" s="108"/>
      <c r="K196" s="108"/>
      <c r="L196" s="108"/>
      <c r="M196" s="108"/>
      <c r="N196" s="278">
        <f t="shared" si="20"/>
        <v>0</v>
      </c>
      <c r="O196" s="122"/>
      <c r="P196" s="96">
        <f t="shared" si="19"/>
        <v>0</v>
      </c>
      <c r="Q196" s="97">
        <f t="shared" si="21"/>
        <v>0</v>
      </c>
      <c r="R196" s="108"/>
      <c r="AA196" s="68"/>
      <c r="AB196" s="68"/>
    </row>
    <row r="197" spans="5:28" x14ac:dyDescent="0.25">
      <c r="H197" s="280"/>
      <c r="N197" s="278">
        <f t="shared" si="20"/>
        <v>0</v>
      </c>
      <c r="O197" s="152"/>
      <c r="P197" s="96">
        <f t="shared" si="19"/>
        <v>0</v>
      </c>
      <c r="Q197" s="97">
        <f t="shared" si="21"/>
        <v>0</v>
      </c>
      <c r="AA197" s="68"/>
      <c r="AB197" s="68"/>
    </row>
    <row r="198" spans="5:28" x14ac:dyDescent="0.25">
      <c r="H198" s="280"/>
      <c r="N198" s="278">
        <f t="shared" si="20"/>
        <v>0</v>
      </c>
      <c r="O198" s="152"/>
      <c r="P198" s="96">
        <f t="shared" si="19"/>
        <v>0</v>
      </c>
      <c r="Q198" s="97">
        <f t="shared" si="21"/>
        <v>0</v>
      </c>
      <c r="AA198" s="68"/>
      <c r="AB198" s="68"/>
    </row>
    <row r="199" spans="5:28" x14ac:dyDescent="0.25">
      <c r="H199" s="280"/>
      <c r="I199" s="108"/>
      <c r="J199" s="108"/>
      <c r="K199" s="108"/>
      <c r="L199" s="108"/>
      <c r="M199" s="108"/>
      <c r="N199" s="278">
        <f t="shared" si="20"/>
        <v>0</v>
      </c>
      <c r="O199" s="122"/>
      <c r="P199" s="96">
        <f t="shared" si="19"/>
        <v>0</v>
      </c>
      <c r="Q199" s="97">
        <f t="shared" si="21"/>
        <v>0</v>
      </c>
      <c r="R199" s="108"/>
      <c r="AA199" s="68"/>
      <c r="AB199" s="68"/>
    </row>
    <row r="200" spans="5:28" x14ac:dyDescent="0.25">
      <c r="N200" s="278">
        <f t="shared" si="20"/>
        <v>0</v>
      </c>
      <c r="O200" s="120"/>
      <c r="P200" s="96">
        <f t="shared" si="19"/>
        <v>0</v>
      </c>
      <c r="Q200" s="97">
        <f t="shared" si="21"/>
        <v>0</v>
      </c>
      <c r="AA200" s="68"/>
      <c r="AB200" s="68"/>
    </row>
    <row r="201" spans="5:28" x14ac:dyDescent="0.25">
      <c r="H201" s="280"/>
      <c r="N201" s="278">
        <f t="shared" si="20"/>
        <v>0</v>
      </c>
      <c r="O201" s="152"/>
      <c r="P201" s="96">
        <f t="shared" si="19"/>
        <v>0</v>
      </c>
      <c r="Q201" s="97">
        <f t="shared" ref="Q201:Q229" si="22">IF(B201=2013, P201/3,P201)+O201</f>
        <v>0</v>
      </c>
      <c r="AA201" s="68"/>
      <c r="AB201" s="68"/>
    </row>
    <row r="202" spans="5:28" x14ac:dyDescent="0.25">
      <c r="N202" s="278">
        <f t="shared" si="20"/>
        <v>0</v>
      </c>
      <c r="O202" s="152"/>
      <c r="P202" s="96">
        <f t="shared" ref="P202:P225" si="23">I202+J202+K202+L202+M202+N202</f>
        <v>0</v>
      </c>
      <c r="Q202" s="97">
        <f t="shared" si="22"/>
        <v>0</v>
      </c>
      <c r="AA202" s="68"/>
      <c r="AB202" s="68"/>
    </row>
    <row r="203" spans="5:28" x14ac:dyDescent="0.25">
      <c r="H203" s="280"/>
      <c r="N203" s="278">
        <f t="shared" si="20"/>
        <v>0</v>
      </c>
      <c r="O203" s="120"/>
      <c r="P203" s="96">
        <f t="shared" si="23"/>
        <v>0</v>
      </c>
      <c r="Q203" s="97">
        <f t="shared" si="22"/>
        <v>0</v>
      </c>
      <c r="AA203" s="68"/>
      <c r="AB203" s="68"/>
    </row>
    <row r="204" spans="5:28" x14ac:dyDescent="0.25">
      <c r="E204" s="154"/>
      <c r="F204" s="154"/>
      <c r="H204" s="280"/>
      <c r="N204" s="278">
        <f t="shared" ref="N204:N273" si="24">AB204</f>
        <v>0</v>
      </c>
      <c r="O204" s="120"/>
      <c r="P204" s="96">
        <f t="shared" si="23"/>
        <v>0</v>
      </c>
      <c r="Q204" s="97">
        <f t="shared" si="22"/>
        <v>0</v>
      </c>
      <c r="AA204" s="68"/>
      <c r="AB204" s="68"/>
    </row>
    <row r="205" spans="5:28" x14ac:dyDescent="0.25">
      <c r="I205" s="154"/>
      <c r="J205" s="154"/>
      <c r="K205" s="154"/>
      <c r="L205" s="154"/>
      <c r="M205" s="154"/>
      <c r="N205" s="278">
        <f t="shared" si="24"/>
        <v>0</v>
      </c>
      <c r="O205" s="122"/>
      <c r="P205" s="96">
        <f t="shared" si="23"/>
        <v>0</v>
      </c>
      <c r="Q205" s="97">
        <f t="shared" si="22"/>
        <v>0</v>
      </c>
      <c r="R205" s="154"/>
      <c r="AA205" s="68"/>
      <c r="AB205" s="68"/>
    </row>
    <row r="206" spans="5:28" x14ac:dyDescent="0.25">
      <c r="E206" s="108"/>
      <c r="F206" s="108"/>
      <c r="H206" s="101"/>
      <c r="N206" s="278">
        <f t="shared" si="24"/>
        <v>0</v>
      </c>
      <c r="O206" s="152"/>
      <c r="P206" s="96">
        <f t="shared" si="23"/>
        <v>0</v>
      </c>
      <c r="Q206" s="97">
        <f t="shared" si="22"/>
        <v>0</v>
      </c>
      <c r="AA206" s="68"/>
      <c r="AB206" s="68"/>
    </row>
    <row r="207" spans="5:28" x14ac:dyDescent="0.25">
      <c r="E207" s="154"/>
      <c r="F207" s="154"/>
      <c r="H207" s="280"/>
      <c r="N207" s="278">
        <f t="shared" si="24"/>
        <v>0</v>
      </c>
      <c r="O207" s="152"/>
      <c r="P207" s="96">
        <f t="shared" si="23"/>
        <v>0</v>
      </c>
      <c r="Q207" s="97">
        <f t="shared" si="22"/>
        <v>0</v>
      </c>
      <c r="AA207" s="68"/>
      <c r="AB207" s="68"/>
    </row>
    <row r="208" spans="5:28" x14ac:dyDescent="0.25">
      <c r="H208" s="280"/>
      <c r="N208" s="278">
        <f t="shared" si="24"/>
        <v>0</v>
      </c>
      <c r="O208" s="152"/>
      <c r="P208" s="96">
        <f t="shared" si="23"/>
        <v>0</v>
      </c>
      <c r="Q208" s="97">
        <f t="shared" si="22"/>
        <v>0</v>
      </c>
      <c r="AA208" s="68"/>
      <c r="AB208" s="68"/>
    </row>
    <row r="209" spans="5:28" x14ac:dyDescent="0.25">
      <c r="N209" s="278">
        <f t="shared" si="24"/>
        <v>0</v>
      </c>
      <c r="O209" s="152"/>
      <c r="P209" s="96">
        <f t="shared" si="23"/>
        <v>0</v>
      </c>
      <c r="Q209" s="97">
        <f t="shared" si="22"/>
        <v>0</v>
      </c>
      <c r="AA209" s="68"/>
      <c r="AB209" s="68"/>
    </row>
    <row r="210" spans="5:28" x14ac:dyDescent="0.25">
      <c r="N210" s="278">
        <f t="shared" si="24"/>
        <v>0</v>
      </c>
      <c r="O210" s="120"/>
      <c r="P210" s="96">
        <f t="shared" si="23"/>
        <v>0</v>
      </c>
      <c r="Q210" s="97">
        <f t="shared" si="22"/>
        <v>0</v>
      </c>
      <c r="AA210" s="68"/>
      <c r="AB210" s="68"/>
    </row>
    <row r="211" spans="5:28" x14ac:dyDescent="0.25">
      <c r="N211" s="278">
        <f t="shared" si="24"/>
        <v>0</v>
      </c>
      <c r="O211" s="152"/>
      <c r="P211" s="96">
        <f t="shared" si="23"/>
        <v>0</v>
      </c>
      <c r="Q211" s="97">
        <f t="shared" si="22"/>
        <v>0</v>
      </c>
      <c r="AA211" s="68"/>
      <c r="AB211" s="68"/>
    </row>
    <row r="212" spans="5:28" x14ac:dyDescent="0.25">
      <c r="H212" s="280"/>
      <c r="N212" s="278">
        <f t="shared" si="24"/>
        <v>0</v>
      </c>
      <c r="O212" s="120"/>
      <c r="P212" s="96">
        <f t="shared" si="23"/>
        <v>0</v>
      </c>
      <c r="Q212" s="97">
        <f t="shared" si="22"/>
        <v>0</v>
      </c>
      <c r="AA212" s="68"/>
      <c r="AB212" s="68"/>
    </row>
    <row r="213" spans="5:28" x14ac:dyDescent="0.25">
      <c r="E213" s="154"/>
      <c r="F213" s="154"/>
      <c r="H213" s="280"/>
      <c r="I213" s="154"/>
      <c r="J213" s="154"/>
      <c r="K213" s="154"/>
      <c r="L213" s="154"/>
      <c r="M213" s="154"/>
      <c r="N213" s="278">
        <f t="shared" si="24"/>
        <v>0</v>
      </c>
      <c r="O213" s="152"/>
      <c r="P213" s="96">
        <f t="shared" si="23"/>
        <v>0</v>
      </c>
      <c r="Q213" s="97">
        <f t="shared" si="22"/>
        <v>0</v>
      </c>
      <c r="R213" s="154"/>
      <c r="AA213" s="68"/>
      <c r="AB213" s="68"/>
    </row>
    <row r="214" spans="5:28" x14ac:dyDescent="0.25">
      <c r="H214" s="280"/>
      <c r="N214" s="278">
        <f t="shared" si="24"/>
        <v>0</v>
      </c>
      <c r="O214" s="152"/>
      <c r="P214" s="96">
        <f t="shared" si="23"/>
        <v>0</v>
      </c>
      <c r="Q214" s="97">
        <f t="shared" si="22"/>
        <v>0</v>
      </c>
      <c r="AA214" s="68"/>
      <c r="AB214" s="68"/>
    </row>
    <row r="215" spans="5:28" x14ac:dyDescent="0.25">
      <c r="N215" s="278">
        <f t="shared" si="24"/>
        <v>0</v>
      </c>
      <c r="O215" s="120"/>
      <c r="P215" s="96">
        <f t="shared" si="23"/>
        <v>0</v>
      </c>
      <c r="Q215" s="97">
        <f t="shared" si="22"/>
        <v>0</v>
      </c>
      <c r="AA215" s="68"/>
      <c r="AB215" s="68"/>
    </row>
    <row r="216" spans="5:28" x14ac:dyDescent="0.25">
      <c r="H216" s="280"/>
      <c r="N216" s="278">
        <f t="shared" si="24"/>
        <v>0</v>
      </c>
      <c r="O216" s="120"/>
      <c r="P216" s="96">
        <f t="shared" si="23"/>
        <v>0</v>
      </c>
      <c r="Q216" s="97">
        <f t="shared" si="22"/>
        <v>0</v>
      </c>
      <c r="AA216" s="68"/>
      <c r="AB216" s="68"/>
    </row>
    <row r="217" spans="5:28" x14ac:dyDescent="0.25">
      <c r="H217" s="280"/>
      <c r="I217" s="154"/>
      <c r="J217" s="154"/>
      <c r="K217" s="154"/>
      <c r="L217" s="154"/>
      <c r="M217" s="154"/>
      <c r="N217" s="278">
        <f t="shared" si="24"/>
        <v>0</v>
      </c>
      <c r="O217" s="122"/>
      <c r="P217" s="96">
        <f t="shared" si="23"/>
        <v>0</v>
      </c>
      <c r="Q217" s="97">
        <f t="shared" si="22"/>
        <v>0</v>
      </c>
      <c r="R217" s="154"/>
      <c r="AA217" s="68"/>
      <c r="AB217" s="68"/>
    </row>
    <row r="218" spans="5:28" x14ac:dyDescent="0.25">
      <c r="H218" s="280"/>
      <c r="N218" s="278">
        <f t="shared" si="24"/>
        <v>0</v>
      </c>
      <c r="O218" s="152"/>
      <c r="P218" s="96">
        <f t="shared" si="23"/>
        <v>0</v>
      </c>
      <c r="Q218" s="97">
        <f t="shared" si="22"/>
        <v>0</v>
      </c>
      <c r="AA218" s="68"/>
      <c r="AB218" s="68"/>
    </row>
    <row r="219" spans="5:28" x14ac:dyDescent="0.25">
      <c r="N219" s="278">
        <f t="shared" si="24"/>
        <v>0</v>
      </c>
      <c r="O219" s="152"/>
      <c r="P219" s="96">
        <f t="shared" si="23"/>
        <v>0</v>
      </c>
      <c r="Q219" s="97">
        <f t="shared" si="22"/>
        <v>0</v>
      </c>
      <c r="AA219" s="68"/>
      <c r="AB219" s="68"/>
    </row>
    <row r="220" spans="5:28" x14ac:dyDescent="0.25">
      <c r="E220" s="108"/>
      <c r="F220" s="108"/>
      <c r="H220" s="101"/>
      <c r="N220" s="278">
        <f t="shared" si="24"/>
        <v>0</v>
      </c>
      <c r="O220" s="152"/>
      <c r="P220" s="96">
        <f t="shared" si="23"/>
        <v>0</v>
      </c>
      <c r="Q220" s="97">
        <f t="shared" si="22"/>
        <v>0</v>
      </c>
      <c r="AA220" s="68"/>
      <c r="AB220" s="68"/>
    </row>
    <row r="221" spans="5:28" x14ac:dyDescent="0.25">
      <c r="E221" s="154"/>
      <c r="F221" s="154"/>
      <c r="H221" s="280"/>
      <c r="N221" s="278">
        <f t="shared" si="24"/>
        <v>0</v>
      </c>
      <c r="O221" s="152"/>
      <c r="P221" s="96">
        <f t="shared" si="23"/>
        <v>0</v>
      </c>
      <c r="Q221" s="97">
        <f t="shared" si="22"/>
        <v>0</v>
      </c>
      <c r="AA221" s="68"/>
      <c r="AB221" s="68"/>
    </row>
    <row r="222" spans="5:28" x14ac:dyDescent="0.25">
      <c r="H222" s="280"/>
      <c r="N222" s="278">
        <f t="shared" si="24"/>
        <v>0</v>
      </c>
      <c r="O222" s="152"/>
      <c r="P222" s="96">
        <f t="shared" si="23"/>
        <v>0</v>
      </c>
      <c r="Q222" s="97">
        <f t="shared" si="22"/>
        <v>0</v>
      </c>
      <c r="AA222" s="68"/>
      <c r="AB222" s="68"/>
    </row>
    <row r="223" spans="5:28" x14ac:dyDescent="0.25">
      <c r="N223" s="278">
        <f t="shared" si="24"/>
        <v>0</v>
      </c>
      <c r="O223" s="120"/>
      <c r="P223" s="96">
        <f t="shared" si="23"/>
        <v>0</v>
      </c>
      <c r="Q223" s="97">
        <f t="shared" si="22"/>
        <v>0</v>
      </c>
      <c r="AA223" s="68"/>
      <c r="AB223" s="68"/>
    </row>
    <row r="224" spans="5:28" x14ac:dyDescent="0.25">
      <c r="H224" s="280"/>
      <c r="I224" s="154"/>
      <c r="J224" s="154"/>
      <c r="K224" s="154"/>
      <c r="L224" s="154"/>
      <c r="M224" s="154"/>
      <c r="N224" s="278">
        <f t="shared" si="24"/>
        <v>0</v>
      </c>
      <c r="O224" s="122"/>
      <c r="P224" s="96">
        <f t="shared" si="23"/>
        <v>0</v>
      </c>
      <c r="Q224" s="97">
        <f t="shared" si="22"/>
        <v>0</v>
      </c>
      <c r="R224" s="154"/>
      <c r="AA224" s="68"/>
      <c r="AB224" s="68"/>
    </row>
    <row r="225" spans="7:28" x14ac:dyDescent="0.25">
      <c r="H225" s="280"/>
      <c r="N225" s="278">
        <f t="shared" si="24"/>
        <v>0</v>
      </c>
      <c r="O225" s="152"/>
      <c r="P225" s="96">
        <f t="shared" si="23"/>
        <v>0</v>
      </c>
      <c r="Q225" s="97">
        <f t="shared" si="22"/>
        <v>0</v>
      </c>
      <c r="AA225" s="68"/>
      <c r="AB225" s="68"/>
    </row>
    <row r="226" spans="7:28" x14ac:dyDescent="0.25">
      <c r="H226" s="280"/>
      <c r="N226" s="278">
        <f t="shared" si="24"/>
        <v>0</v>
      </c>
      <c r="O226" s="152"/>
      <c r="P226" s="96">
        <f t="shared" ref="P226:P273" si="25">H226+I226+J226+K226+L226+M226</f>
        <v>0</v>
      </c>
      <c r="Q226" s="97">
        <f t="shared" si="22"/>
        <v>0</v>
      </c>
      <c r="AA226" s="68"/>
      <c r="AB226" s="68"/>
    </row>
    <row r="227" spans="7:28" x14ac:dyDescent="0.25">
      <c r="H227" s="280"/>
      <c r="I227" s="154"/>
      <c r="J227" s="154"/>
      <c r="K227" s="154"/>
      <c r="L227" s="154"/>
      <c r="M227" s="154"/>
      <c r="N227" s="278">
        <f t="shared" si="24"/>
        <v>0</v>
      </c>
      <c r="O227" s="122"/>
      <c r="P227" s="96">
        <f t="shared" si="25"/>
        <v>0</v>
      </c>
      <c r="Q227" s="97">
        <f t="shared" si="22"/>
        <v>0</v>
      </c>
      <c r="R227" s="154"/>
      <c r="AA227" s="68"/>
      <c r="AB227" s="68"/>
    </row>
    <row r="228" spans="7:28" x14ac:dyDescent="0.25">
      <c r="G228" s="120">
        <f>3</f>
        <v>3</v>
      </c>
      <c r="H228" s="280"/>
      <c r="N228" s="278">
        <f t="shared" si="24"/>
        <v>0</v>
      </c>
      <c r="O228" s="152"/>
      <c r="P228" s="96">
        <f t="shared" si="25"/>
        <v>0</v>
      </c>
      <c r="Q228" s="97">
        <f t="shared" si="22"/>
        <v>0</v>
      </c>
      <c r="AA228" s="68"/>
      <c r="AB228" s="68"/>
    </row>
    <row r="229" spans="7:28" x14ac:dyDescent="0.25">
      <c r="H229" s="280"/>
      <c r="I229" s="108"/>
      <c r="J229" s="108"/>
      <c r="K229" s="108"/>
      <c r="L229" s="108"/>
      <c r="M229" s="108"/>
      <c r="N229" s="278">
        <f t="shared" si="24"/>
        <v>0</v>
      </c>
      <c r="O229" s="122"/>
      <c r="P229" s="96">
        <f t="shared" si="25"/>
        <v>0</v>
      </c>
      <c r="Q229" s="97">
        <f t="shared" si="22"/>
        <v>0</v>
      </c>
      <c r="R229" s="108"/>
      <c r="AA229" s="68"/>
      <c r="AB229" s="68"/>
    </row>
    <row r="230" spans="7:28" x14ac:dyDescent="0.25">
      <c r="H230" s="280"/>
      <c r="O230" s="120"/>
      <c r="P230" s="96"/>
      <c r="Q230" s="97"/>
      <c r="AA230" s="68"/>
      <c r="AB230" s="68"/>
    </row>
    <row r="231" spans="7:28" x14ac:dyDescent="0.25">
      <c r="H231" s="280"/>
      <c r="I231" s="154"/>
      <c r="J231" s="154"/>
      <c r="K231" s="154"/>
      <c r="L231" s="154"/>
      <c r="M231" s="154"/>
      <c r="O231" s="122"/>
      <c r="P231" s="96"/>
      <c r="Q231" s="97"/>
      <c r="R231" s="154"/>
      <c r="AA231" s="68"/>
      <c r="AB231" s="68"/>
    </row>
    <row r="232" spans="7:28" x14ac:dyDescent="0.25">
      <c r="H232" s="280"/>
      <c r="N232" s="278">
        <f t="shared" si="24"/>
        <v>0</v>
      </c>
      <c r="O232" s="120"/>
      <c r="P232" s="96">
        <f t="shared" si="25"/>
        <v>0</v>
      </c>
      <c r="Q232" s="97">
        <f t="shared" ref="Q232:Q243" si="26">IF(B232=2013, P232/3,P232)+O232</f>
        <v>0</v>
      </c>
      <c r="AA232" s="68"/>
      <c r="AB232" s="68"/>
    </row>
    <row r="233" spans="7:28" x14ac:dyDescent="0.25">
      <c r="H233" s="280"/>
      <c r="N233" s="278">
        <f t="shared" si="24"/>
        <v>0</v>
      </c>
      <c r="O233" s="152"/>
      <c r="P233" s="96">
        <f t="shared" si="25"/>
        <v>0</v>
      </c>
      <c r="Q233" s="97">
        <f t="shared" si="26"/>
        <v>0</v>
      </c>
      <c r="AA233" s="68"/>
      <c r="AB233" s="68"/>
    </row>
    <row r="234" spans="7:28" x14ac:dyDescent="0.25">
      <c r="H234" s="280"/>
      <c r="N234" s="278">
        <f t="shared" si="24"/>
        <v>0</v>
      </c>
      <c r="O234" s="120"/>
      <c r="P234" s="96">
        <f t="shared" si="25"/>
        <v>0</v>
      </c>
      <c r="Q234" s="97">
        <f t="shared" si="26"/>
        <v>0</v>
      </c>
      <c r="AA234" s="68"/>
      <c r="AB234" s="68"/>
    </row>
    <row r="235" spans="7:28" x14ac:dyDescent="0.25">
      <c r="H235" s="280"/>
      <c r="I235" s="154"/>
      <c r="J235" s="154"/>
      <c r="K235" s="154"/>
      <c r="L235" s="154"/>
      <c r="M235" s="154"/>
      <c r="N235" s="278">
        <f t="shared" si="24"/>
        <v>0</v>
      </c>
      <c r="O235" s="122"/>
      <c r="P235" s="96">
        <f t="shared" si="25"/>
        <v>0</v>
      </c>
      <c r="Q235" s="97">
        <f t="shared" si="26"/>
        <v>0</v>
      </c>
      <c r="R235" s="154"/>
      <c r="AA235" s="68"/>
      <c r="AB235" s="68"/>
    </row>
    <row r="236" spans="7:28" x14ac:dyDescent="0.25">
      <c r="H236" s="280"/>
      <c r="N236" s="278">
        <f t="shared" si="24"/>
        <v>0</v>
      </c>
      <c r="O236" s="152"/>
      <c r="P236" s="96">
        <f t="shared" si="25"/>
        <v>0</v>
      </c>
      <c r="Q236" s="97">
        <f t="shared" si="26"/>
        <v>0</v>
      </c>
      <c r="AA236" s="68"/>
      <c r="AB236" s="68"/>
    </row>
    <row r="237" spans="7:28" x14ac:dyDescent="0.25">
      <c r="N237" s="278">
        <f t="shared" si="24"/>
        <v>0</v>
      </c>
      <c r="O237" s="152"/>
      <c r="P237" s="96">
        <f t="shared" si="25"/>
        <v>0</v>
      </c>
      <c r="Q237" s="97">
        <f t="shared" si="26"/>
        <v>0</v>
      </c>
      <c r="AA237" s="68"/>
      <c r="AB237" s="68"/>
    </row>
    <row r="238" spans="7:28" x14ac:dyDescent="0.25">
      <c r="N238" s="278">
        <f t="shared" si="24"/>
        <v>0</v>
      </c>
      <c r="O238" s="120"/>
      <c r="P238" s="96">
        <f t="shared" si="25"/>
        <v>0</v>
      </c>
      <c r="Q238" s="97">
        <f t="shared" si="26"/>
        <v>0</v>
      </c>
      <c r="AA238" s="68"/>
      <c r="AB238" s="68"/>
    </row>
    <row r="239" spans="7:28" x14ac:dyDescent="0.25">
      <c r="N239" s="278">
        <f t="shared" si="24"/>
        <v>0</v>
      </c>
      <c r="O239" s="120"/>
      <c r="P239" s="96">
        <f t="shared" si="25"/>
        <v>0</v>
      </c>
      <c r="Q239" s="97">
        <f t="shared" si="26"/>
        <v>0</v>
      </c>
      <c r="AA239" s="68"/>
      <c r="AB239" s="68"/>
    </row>
    <row r="240" spans="7:28" x14ac:dyDescent="0.25">
      <c r="N240" s="278">
        <f t="shared" si="24"/>
        <v>0</v>
      </c>
      <c r="O240" s="120"/>
      <c r="P240" s="96">
        <f t="shared" si="25"/>
        <v>0</v>
      </c>
      <c r="Q240" s="97">
        <f t="shared" si="26"/>
        <v>0</v>
      </c>
      <c r="AA240" s="68"/>
      <c r="AB240" s="68"/>
    </row>
    <row r="241" spans="5:28" x14ac:dyDescent="0.25">
      <c r="N241" s="278">
        <f t="shared" si="24"/>
        <v>0</v>
      </c>
      <c r="O241" s="152"/>
      <c r="P241" s="96">
        <f t="shared" si="25"/>
        <v>0</v>
      </c>
      <c r="Q241" s="97">
        <f t="shared" si="26"/>
        <v>0</v>
      </c>
      <c r="AA241" s="68"/>
      <c r="AB241" s="68"/>
    </row>
    <row r="242" spans="5:28" x14ac:dyDescent="0.25">
      <c r="N242" s="278">
        <f t="shared" si="24"/>
        <v>0</v>
      </c>
      <c r="O242" s="120"/>
      <c r="P242" s="96">
        <f t="shared" si="25"/>
        <v>0</v>
      </c>
      <c r="Q242" s="97">
        <f t="shared" si="26"/>
        <v>0</v>
      </c>
      <c r="AA242" s="68"/>
      <c r="AB242" s="68"/>
    </row>
    <row r="243" spans="5:28" x14ac:dyDescent="0.25">
      <c r="I243" s="154"/>
      <c r="J243" s="154"/>
      <c r="K243" s="154"/>
      <c r="L243" s="154"/>
      <c r="M243" s="154"/>
      <c r="N243" s="278">
        <f t="shared" si="24"/>
        <v>0</v>
      </c>
      <c r="O243" s="122"/>
      <c r="P243" s="96">
        <f t="shared" si="25"/>
        <v>0</v>
      </c>
      <c r="Q243" s="97">
        <f t="shared" si="26"/>
        <v>0</v>
      </c>
      <c r="R243" s="154"/>
      <c r="AA243" s="68"/>
      <c r="AB243" s="68"/>
    </row>
    <row r="244" spans="5:28" x14ac:dyDescent="0.25">
      <c r="I244" s="108"/>
      <c r="J244" s="108"/>
      <c r="K244" s="108"/>
      <c r="L244" s="108"/>
      <c r="M244" s="108"/>
      <c r="O244" s="122"/>
      <c r="P244" s="96"/>
      <c r="Q244" s="97"/>
      <c r="R244" s="108"/>
      <c r="AA244" s="68"/>
      <c r="AB244" s="68"/>
    </row>
    <row r="245" spans="5:28" x14ac:dyDescent="0.25">
      <c r="N245" s="278">
        <f t="shared" si="24"/>
        <v>0</v>
      </c>
      <c r="O245" s="152"/>
      <c r="P245" s="96">
        <f t="shared" si="25"/>
        <v>0</v>
      </c>
      <c r="Q245" s="97">
        <f t="shared" ref="Q245:Q264" si="27">IF(B245=2013, P245/3,P245)+O245</f>
        <v>0</v>
      </c>
      <c r="AA245" s="68"/>
      <c r="AB245" s="68"/>
    </row>
    <row r="246" spans="5:28" x14ac:dyDescent="0.25">
      <c r="I246" s="154"/>
      <c r="J246" s="154"/>
      <c r="K246" s="154"/>
      <c r="L246" s="154"/>
      <c r="M246" s="154"/>
      <c r="N246" s="278">
        <f t="shared" si="24"/>
        <v>0</v>
      </c>
      <c r="O246" s="122"/>
      <c r="P246" s="96">
        <f t="shared" si="25"/>
        <v>0</v>
      </c>
      <c r="Q246" s="97">
        <f t="shared" si="27"/>
        <v>0</v>
      </c>
      <c r="R246" s="154"/>
      <c r="AA246" s="68"/>
      <c r="AB246" s="68"/>
    </row>
    <row r="247" spans="5:28" x14ac:dyDescent="0.25">
      <c r="N247" s="278">
        <f t="shared" si="24"/>
        <v>0</v>
      </c>
      <c r="O247" s="120"/>
      <c r="P247" s="96">
        <f t="shared" si="25"/>
        <v>0</v>
      </c>
      <c r="Q247" s="97">
        <f t="shared" si="27"/>
        <v>0</v>
      </c>
      <c r="AA247" s="68"/>
      <c r="AB247" s="68"/>
    </row>
    <row r="248" spans="5:28" x14ac:dyDescent="0.25">
      <c r="N248" s="278">
        <f t="shared" si="24"/>
        <v>0</v>
      </c>
      <c r="O248" s="120"/>
      <c r="P248" s="96">
        <f t="shared" si="25"/>
        <v>0</v>
      </c>
      <c r="Q248" s="97">
        <f t="shared" si="27"/>
        <v>0</v>
      </c>
      <c r="AA248" s="68"/>
      <c r="AB248" s="68"/>
    </row>
    <row r="249" spans="5:28" x14ac:dyDescent="0.25">
      <c r="N249" s="278">
        <f t="shared" si="24"/>
        <v>0</v>
      </c>
      <c r="O249" s="152"/>
      <c r="P249" s="96">
        <f t="shared" si="25"/>
        <v>0</v>
      </c>
      <c r="Q249" s="97">
        <f t="shared" si="27"/>
        <v>0</v>
      </c>
      <c r="AA249" s="68"/>
      <c r="AB249" s="68"/>
    </row>
    <row r="250" spans="5:28" x14ac:dyDescent="0.25">
      <c r="N250" s="278">
        <f t="shared" si="24"/>
        <v>0</v>
      </c>
      <c r="O250" s="120"/>
      <c r="P250" s="96">
        <f t="shared" si="25"/>
        <v>0</v>
      </c>
      <c r="Q250" s="97">
        <f t="shared" si="27"/>
        <v>0</v>
      </c>
      <c r="AA250" s="68"/>
      <c r="AB250" s="68"/>
    </row>
    <row r="251" spans="5:28" x14ac:dyDescent="0.25">
      <c r="N251" s="278">
        <f t="shared" si="24"/>
        <v>0</v>
      </c>
      <c r="O251" s="152"/>
      <c r="P251" s="96">
        <f t="shared" si="25"/>
        <v>0</v>
      </c>
      <c r="Q251" s="97">
        <f t="shared" si="27"/>
        <v>0</v>
      </c>
      <c r="AA251" s="68"/>
      <c r="AB251" s="68"/>
    </row>
    <row r="252" spans="5:28" x14ac:dyDescent="0.25">
      <c r="N252" s="278">
        <f t="shared" si="24"/>
        <v>0</v>
      </c>
      <c r="P252" s="96">
        <f t="shared" si="25"/>
        <v>0</v>
      </c>
      <c r="Q252" s="97">
        <f t="shared" si="27"/>
        <v>0</v>
      </c>
      <c r="AA252" s="68"/>
      <c r="AB252" s="68"/>
    </row>
    <row r="253" spans="5:28" x14ac:dyDescent="0.25">
      <c r="E253" s="154"/>
      <c r="F253" s="154"/>
      <c r="N253" s="278">
        <f t="shared" si="24"/>
        <v>0</v>
      </c>
      <c r="O253" s="152"/>
      <c r="P253" s="96">
        <f t="shared" si="25"/>
        <v>0</v>
      </c>
      <c r="Q253" s="97">
        <f t="shared" si="27"/>
        <v>0</v>
      </c>
      <c r="AA253" s="68"/>
      <c r="AB253" s="68"/>
    </row>
    <row r="254" spans="5:28" x14ac:dyDescent="0.25">
      <c r="E254" s="154"/>
      <c r="F254" s="154"/>
      <c r="N254" s="278">
        <f t="shared" si="24"/>
        <v>0</v>
      </c>
      <c r="O254" s="152"/>
      <c r="P254" s="96">
        <f t="shared" si="25"/>
        <v>0</v>
      </c>
      <c r="Q254" s="97">
        <f t="shared" si="27"/>
        <v>0</v>
      </c>
      <c r="AA254" s="68"/>
      <c r="AB254" s="68"/>
    </row>
    <row r="255" spans="5:28" x14ac:dyDescent="0.25">
      <c r="E255" s="154"/>
      <c r="F255" s="154"/>
      <c r="N255" s="278">
        <f t="shared" si="24"/>
        <v>0</v>
      </c>
      <c r="O255" s="152"/>
      <c r="P255" s="96">
        <f t="shared" si="25"/>
        <v>0</v>
      </c>
      <c r="Q255" s="97">
        <f t="shared" si="27"/>
        <v>0</v>
      </c>
      <c r="AA255" s="68"/>
      <c r="AB255" s="68"/>
    </row>
    <row r="256" spans="5:28" x14ac:dyDescent="0.25">
      <c r="N256" s="278">
        <f t="shared" si="24"/>
        <v>0</v>
      </c>
      <c r="O256" s="152"/>
      <c r="P256" s="96">
        <f t="shared" si="25"/>
        <v>0</v>
      </c>
      <c r="Q256" s="97">
        <f t="shared" si="27"/>
        <v>0</v>
      </c>
      <c r="AA256" s="68"/>
      <c r="AB256" s="68"/>
    </row>
    <row r="257" spans="5:28" x14ac:dyDescent="0.25">
      <c r="N257" s="278">
        <f t="shared" si="24"/>
        <v>0</v>
      </c>
      <c r="O257" s="152"/>
      <c r="P257" s="96">
        <f t="shared" si="25"/>
        <v>0</v>
      </c>
      <c r="Q257" s="97">
        <f t="shared" si="27"/>
        <v>0</v>
      </c>
      <c r="AA257" s="68"/>
      <c r="AB257" s="68"/>
    </row>
    <row r="258" spans="5:28" x14ac:dyDescent="0.25">
      <c r="N258" s="278">
        <f t="shared" si="24"/>
        <v>0</v>
      </c>
      <c r="O258" s="152"/>
      <c r="P258" s="96">
        <f t="shared" si="25"/>
        <v>0</v>
      </c>
      <c r="Q258" s="97">
        <f t="shared" si="27"/>
        <v>0</v>
      </c>
      <c r="AA258" s="68"/>
      <c r="AB258" s="68"/>
    </row>
    <row r="259" spans="5:28" x14ac:dyDescent="0.25">
      <c r="N259" s="278">
        <f t="shared" si="24"/>
        <v>0</v>
      </c>
      <c r="O259" s="152"/>
      <c r="P259" s="96">
        <f t="shared" si="25"/>
        <v>0</v>
      </c>
      <c r="Q259" s="97">
        <f t="shared" si="27"/>
        <v>0</v>
      </c>
      <c r="AA259" s="68"/>
      <c r="AB259" s="68"/>
    </row>
    <row r="260" spans="5:28" x14ac:dyDescent="0.25">
      <c r="N260" s="278">
        <f t="shared" si="24"/>
        <v>0</v>
      </c>
      <c r="O260" s="152"/>
      <c r="P260" s="96">
        <f t="shared" si="25"/>
        <v>0</v>
      </c>
      <c r="Q260" s="97">
        <f t="shared" si="27"/>
        <v>0</v>
      </c>
      <c r="AA260" s="68"/>
      <c r="AB260" s="68"/>
    </row>
    <row r="261" spans="5:28" x14ac:dyDescent="0.25">
      <c r="E261" s="154"/>
      <c r="F261" s="154"/>
      <c r="N261" s="278">
        <f t="shared" si="24"/>
        <v>0</v>
      </c>
      <c r="O261" s="152"/>
      <c r="P261" s="96">
        <f t="shared" si="25"/>
        <v>0</v>
      </c>
      <c r="Q261" s="97">
        <f t="shared" si="27"/>
        <v>0</v>
      </c>
      <c r="AA261" s="68"/>
      <c r="AB261" s="68"/>
    </row>
    <row r="262" spans="5:28" x14ac:dyDescent="0.25">
      <c r="N262" s="278">
        <f t="shared" si="24"/>
        <v>0</v>
      </c>
      <c r="O262" s="152"/>
      <c r="P262" s="96">
        <f t="shared" si="25"/>
        <v>0</v>
      </c>
      <c r="Q262" s="97">
        <f t="shared" si="27"/>
        <v>0</v>
      </c>
      <c r="AA262" s="68"/>
      <c r="AB262" s="68"/>
    </row>
    <row r="263" spans="5:28" x14ac:dyDescent="0.25">
      <c r="N263" s="278">
        <f t="shared" si="24"/>
        <v>0</v>
      </c>
      <c r="O263" s="152"/>
      <c r="P263" s="96">
        <f t="shared" si="25"/>
        <v>0</v>
      </c>
      <c r="Q263" s="97">
        <f t="shared" si="27"/>
        <v>0</v>
      </c>
      <c r="AA263" s="68"/>
      <c r="AB263" s="68"/>
    </row>
    <row r="264" spans="5:28" x14ac:dyDescent="0.25">
      <c r="N264" s="278">
        <f t="shared" si="24"/>
        <v>0</v>
      </c>
      <c r="O264" s="152"/>
      <c r="P264" s="96">
        <f t="shared" si="25"/>
        <v>0</v>
      </c>
      <c r="Q264" s="97">
        <f t="shared" si="27"/>
        <v>0</v>
      </c>
      <c r="AA264" s="68"/>
      <c r="AB264" s="68"/>
    </row>
    <row r="265" spans="5:28" x14ac:dyDescent="0.25">
      <c r="O265" s="152"/>
      <c r="P265" s="96"/>
      <c r="Q265" s="97"/>
      <c r="AA265" s="68"/>
      <c r="AB265" s="68"/>
    </row>
    <row r="266" spans="5:28" x14ac:dyDescent="0.25">
      <c r="N266" s="278">
        <f t="shared" si="24"/>
        <v>0</v>
      </c>
      <c r="O266" s="152"/>
      <c r="P266" s="96">
        <f t="shared" si="25"/>
        <v>0</v>
      </c>
      <c r="Q266" s="97">
        <f>IF(B266=2013, P266/3,P266)+O266</f>
        <v>0</v>
      </c>
      <c r="AA266" s="68"/>
      <c r="AB266" s="68"/>
    </row>
    <row r="267" spans="5:28" x14ac:dyDescent="0.25">
      <c r="N267" s="278">
        <f t="shared" si="24"/>
        <v>0</v>
      </c>
      <c r="O267" s="152"/>
      <c r="P267" s="96">
        <f t="shared" si="25"/>
        <v>0</v>
      </c>
      <c r="Q267" s="97">
        <f>IF(B267=2013, P267/3,P267)+O267</f>
        <v>0</v>
      </c>
      <c r="AA267" s="68"/>
      <c r="AB267" s="68"/>
    </row>
    <row r="268" spans="5:28" x14ac:dyDescent="0.25">
      <c r="O268" s="152"/>
      <c r="P268" s="96"/>
      <c r="Q268" s="97"/>
      <c r="AA268" s="68"/>
      <c r="AB268" s="68"/>
    </row>
    <row r="269" spans="5:28" x14ac:dyDescent="0.25">
      <c r="N269" s="278">
        <f t="shared" si="24"/>
        <v>0</v>
      </c>
      <c r="O269" s="152"/>
      <c r="P269" s="96">
        <f t="shared" si="25"/>
        <v>0</v>
      </c>
      <c r="Q269" s="97">
        <f>IF(B269=2013, P269/3,P269)+O269</f>
        <v>0</v>
      </c>
      <c r="AA269" s="68"/>
      <c r="AB269" s="68"/>
    </row>
    <row r="270" spans="5:28" x14ac:dyDescent="0.25">
      <c r="N270" s="278">
        <f t="shared" si="24"/>
        <v>0</v>
      </c>
      <c r="O270" s="152"/>
      <c r="P270" s="96">
        <f t="shared" si="25"/>
        <v>0</v>
      </c>
      <c r="Q270" s="97">
        <f>IF(B270=2013, P270/3,P270)+O270</f>
        <v>0</v>
      </c>
      <c r="AA270" s="68"/>
      <c r="AB270" s="68"/>
    </row>
    <row r="271" spans="5:28" x14ac:dyDescent="0.25">
      <c r="E271" s="108"/>
      <c r="F271" s="108"/>
      <c r="H271" s="101"/>
      <c r="O271" s="120"/>
      <c r="P271" s="96"/>
      <c r="Q271" s="97"/>
      <c r="AA271" s="68"/>
      <c r="AB271" s="68"/>
    </row>
    <row r="272" spans="5:28" x14ac:dyDescent="0.25">
      <c r="E272" s="108"/>
      <c r="F272" s="108"/>
      <c r="H272" s="101"/>
      <c r="I272" s="154"/>
      <c r="J272" s="154"/>
      <c r="K272" s="154"/>
      <c r="L272" s="154"/>
      <c r="M272" s="154"/>
      <c r="N272" s="278">
        <f t="shared" si="24"/>
        <v>0</v>
      </c>
      <c r="O272" s="152"/>
      <c r="P272" s="96">
        <f t="shared" si="25"/>
        <v>0</v>
      </c>
      <c r="Q272" s="97">
        <f>IF(B272=2013, P272/3,P272)+O272</f>
        <v>0</v>
      </c>
      <c r="R272" s="154"/>
      <c r="AA272" s="68"/>
      <c r="AB272" s="68"/>
    </row>
    <row r="273" spans="5:28" x14ac:dyDescent="0.25">
      <c r="E273" s="108"/>
      <c r="F273" s="108"/>
      <c r="H273" s="101"/>
      <c r="I273" s="154"/>
      <c r="J273" s="154"/>
      <c r="K273" s="154"/>
      <c r="L273" s="154"/>
      <c r="M273" s="154"/>
      <c r="N273" s="278">
        <f t="shared" si="24"/>
        <v>0</v>
      </c>
      <c r="O273" s="152"/>
      <c r="P273" s="96">
        <f t="shared" si="25"/>
        <v>0</v>
      </c>
      <c r="Q273" s="97">
        <f>IF(B273=2013, P273/3,P273)+O273</f>
        <v>0</v>
      </c>
      <c r="R273" s="154"/>
      <c r="AA273" s="68"/>
      <c r="AB273" s="68"/>
    </row>
    <row r="274" spans="5:28" x14ac:dyDescent="0.25">
      <c r="I274" s="154"/>
      <c r="J274" s="154"/>
      <c r="K274" s="154"/>
      <c r="L274" s="154"/>
      <c r="M274" s="154"/>
      <c r="N274" s="278">
        <f t="shared" ref="N274:N348" si="28">AB274</f>
        <v>0</v>
      </c>
      <c r="O274" s="152"/>
      <c r="P274" s="96">
        <f t="shared" ref="P274:P348" si="29">H274+I274+J274+K274+L274+M274</f>
        <v>0</v>
      </c>
      <c r="Q274" s="97">
        <f>IF(B274=2013, P274/3,P274)+O274</f>
        <v>0</v>
      </c>
      <c r="R274" s="154"/>
      <c r="AA274" s="68"/>
      <c r="AB274" s="68"/>
    </row>
    <row r="275" spans="5:28" x14ac:dyDescent="0.25">
      <c r="I275" s="154"/>
      <c r="J275" s="154"/>
      <c r="K275" s="154"/>
      <c r="L275" s="154"/>
      <c r="M275" s="154"/>
      <c r="O275" s="152"/>
      <c r="P275" s="96"/>
      <c r="Q275" s="97"/>
      <c r="R275" s="154"/>
      <c r="AA275" s="68"/>
      <c r="AB275" s="68"/>
    </row>
    <row r="276" spans="5:28" x14ac:dyDescent="0.25">
      <c r="E276" s="108"/>
      <c r="F276" s="108"/>
      <c r="H276" s="101"/>
      <c r="I276" s="154"/>
      <c r="J276" s="154"/>
      <c r="K276" s="154"/>
      <c r="L276" s="154"/>
      <c r="M276" s="154"/>
      <c r="N276" s="278">
        <f t="shared" si="28"/>
        <v>0</v>
      </c>
      <c r="O276" s="152"/>
      <c r="P276" s="96">
        <f t="shared" si="29"/>
        <v>0</v>
      </c>
      <c r="Q276" s="97">
        <f>IF(B276=2013, P276/3,P276)+O276</f>
        <v>0</v>
      </c>
      <c r="R276" s="154"/>
      <c r="AA276" s="68"/>
      <c r="AB276" s="68"/>
    </row>
    <row r="277" spans="5:28" x14ac:dyDescent="0.25">
      <c r="I277" s="154"/>
      <c r="J277" s="154"/>
      <c r="K277" s="154"/>
      <c r="L277" s="154"/>
      <c r="M277" s="154"/>
      <c r="O277" s="152"/>
      <c r="P277" s="96"/>
      <c r="Q277" s="97"/>
      <c r="R277" s="154"/>
      <c r="AA277" s="68"/>
      <c r="AB277" s="68"/>
    </row>
    <row r="278" spans="5:28" x14ac:dyDescent="0.25">
      <c r="I278" s="154"/>
      <c r="J278" s="154"/>
      <c r="K278" s="154"/>
      <c r="L278" s="154"/>
      <c r="M278" s="154"/>
      <c r="N278" s="278">
        <f t="shared" si="28"/>
        <v>0</v>
      </c>
      <c r="O278" s="152"/>
      <c r="P278" s="96">
        <f t="shared" si="29"/>
        <v>0</v>
      </c>
      <c r="Q278" s="97">
        <f>IF(B278=2013, P278/3,P278)+O278</f>
        <v>0</v>
      </c>
      <c r="R278" s="154"/>
    </row>
    <row r="279" spans="5:28" x14ac:dyDescent="0.25">
      <c r="I279" s="154"/>
      <c r="J279" s="154"/>
      <c r="K279" s="154"/>
      <c r="L279" s="154"/>
      <c r="M279" s="154"/>
      <c r="N279" s="278">
        <f t="shared" si="28"/>
        <v>0</v>
      </c>
      <c r="O279" s="152"/>
      <c r="P279" s="96">
        <f t="shared" si="29"/>
        <v>0</v>
      </c>
      <c r="Q279" s="97">
        <f>IF(B279=2013, P279/3,P279)+O279</f>
        <v>0</v>
      </c>
      <c r="R279" s="154"/>
    </row>
    <row r="280" spans="5:28" x14ac:dyDescent="0.25">
      <c r="I280" s="154"/>
      <c r="J280" s="154"/>
      <c r="K280" s="154"/>
      <c r="L280" s="154"/>
      <c r="M280" s="154"/>
      <c r="N280" s="278">
        <f t="shared" si="28"/>
        <v>0</v>
      </c>
      <c r="O280" s="152"/>
      <c r="P280" s="96">
        <f t="shared" si="29"/>
        <v>0</v>
      </c>
      <c r="Q280" s="97">
        <f>IF(B280=2013, P280/3,P280)+O280</f>
        <v>0</v>
      </c>
      <c r="R280" s="154"/>
    </row>
    <row r="281" spans="5:28" x14ac:dyDescent="0.25">
      <c r="O281" s="152"/>
      <c r="P281" s="96"/>
      <c r="Q281" s="97"/>
    </row>
    <row r="282" spans="5:28" x14ac:dyDescent="0.25">
      <c r="N282" s="278">
        <f t="shared" si="28"/>
        <v>0</v>
      </c>
      <c r="O282" s="152"/>
      <c r="P282" s="96">
        <f t="shared" si="29"/>
        <v>0</v>
      </c>
      <c r="Q282" s="97">
        <f>IF(B282=2013, P282/3,P282)+O282</f>
        <v>0</v>
      </c>
    </row>
    <row r="283" spans="5:28" x14ac:dyDescent="0.25">
      <c r="N283" s="278">
        <f t="shared" si="28"/>
        <v>0</v>
      </c>
      <c r="O283" s="152"/>
      <c r="P283" s="96">
        <f t="shared" si="29"/>
        <v>0</v>
      </c>
      <c r="Q283" s="97">
        <f>IF(B283=2013, P283/3,P283)+O283</f>
        <v>0</v>
      </c>
    </row>
    <row r="284" spans="5:28" x14ac:dyDescent="0.25">
      <c r="I284" s="108"/>
      <c r="J284" s="108"/>
      <c r="K284" s="108"/>
      <c r="L284" s="108"/>
      <c r="M284" s="108"/>
      <c r="N284" s="278">
        <f t="shared" si="28"/>
        <v>0</v>
      </c>
      <c r="O284" s="122"/>
      <c r="P284" s="96">
        <f t="shared" si="29"/>
        <v>0</v>
      </c>
      <c r="Q284" s="97">
        <f>IF(B284=2013, P284/3,P284)+O284</f>
        <v>0</v>
      </c>
      <c r="R284" s="108"/>
    </row>
    <row r="285" spans="5:28" x14ac:dyDescent="0.25">
      <c r="O285" s="152"/>
      <c r="P285" s="96"/>
      <c r="Q285" s="97"/>
    </row>
    <row r="286" spans="5:28" x14ac:dyDescent="0.25">
      <c r="G286" s="120">
        <f>2+2</f>
        <v>4</v>
      </c>
      <c r="N286" s="278">
        <f t="shared" si="28"/>
        <v>0</v>
      </c>
      <c r="O286" s="152"/>
      <c r="P286" s="96">
        <f t="shared" si="29"/>
        <v>0</v>
      </c>
      <c r="Q286" s="97">
        <f>IF(B286=2013, P286/3,P286)+O286</f>
        <v>0</v>
      </c>
    </row>
    <row r="287" spans="5:28" x14ac:dyDescent="0.25">
      <c r="I287" s="108"/>
      <c r="J287" s="108"/>
      <c r="K287" s="108"/>
      <c r="L287" s="108"/>
      <c r="M287" s="108"/>
      <c r="O287" s="122"/>
      <c r="P287" s="96"/>
      <c r="Q287" s="97"/>
      <c r="R287" s="108"/>
    </row>
    <row r="288" spans="5:28" x14ac:dyDescent="0.25">
      <c r="E288" s="108"/>
      <c r="F288" s="108"/>
      <c r="N288" s="278">
        <f t="shared" si="28"/>
        <v>0</v>
      </c>
      <c r="O288" s="152"/>
      <c r="P288" s="96">
        <f t="shared" si="29"/>
        <v>0</v>
      </c>
      <c r="Q288" s="97">
        <f>IF(B288=2013, P288/3,P288)+O288</f>
        <v>0</v>
      </c>
    </row>
    <row r="289" spans="5:18" x14ac:dyDescent="0.25">
      <c r="N289" s="278">
        <f t="shared" si="28"/>
        <v>0</v>
      </c>
      <c r="O289" s="152"/>
      <c r="P289" s="96">
        <f t="shared" si="29"/>
        <v>0</v>
      </c>
      <c r="Q289" s="97">
        <f>IF(B289=2013, P289/3,P289)+O289</f>
        <v>0</v>
      </c>
    </row>
    <row r="290" spans="5:18" x14ac:dyDescent="0.25">
      <c r="E290" s="108"/>
      <c r="F290" s="108"/>
      <c r="N290" s="278">
        <f t="shared" si="28"/>
        <v>0</v>
      </c>
      <c r="P290" s="96">
        <f t="shared" si="29"/>
        <v>0</v>
      </c>
      <c r="Q290" s="97">
        <f>IF(B290=2013, P290/3,P290)+O290</f>
        <v>0</v>
      </c>
    </row>
    <row r="291" spans="5:18" x14ac:dyDescent="0.25">
      <c r="E291" s="108"/>
      <c r="F291" s="108"/>
      <c r="N291" s="278">
        <f t="shared" si="28"/>
        <v>0</v>
      </c>
      <c r="O291" s="152"/>
      <c r="P291" s="96">
        <f t="shared" si="29"/>
        <v>0</v>
      </c>
      <c r="Q291" s="97">
        <f>IF(B291=2013, P291/3,P291)+O291</f>
        <v>0</v>
      </c>
    </row>
    <row r="292" spans="5:18" x14ac:dyDescent="0.25">
      <c r="E292" s="108"/>
      <c r="F292" s="108"/>
      <c r="O292" s="152"/>
      <c r="P292" s="96"/>
      <c r="Q292" s="97"/>
    </row>
    <row r="293" spans="5:18" x14ac:dyDescent="0.25">
      <c r="E293" s="108"/>
      <c r="F293" s="108"/>
      <c r="N293" s="278">
        <f t="shared" si="28"/>
        <v>0</v>
      </c>
      <c r="O293" s="152"/>
      <c r="P293" s="96">
        <f t="shared" si="29"/>
        <v>0</v>
      </c>
      <c r="Q293" s="97">
        <f>IF(B293=2013, P293/3,P293)+O293</f>
        <v>0</v>
      </c>
    </row>
    <row r="294" spans="5:18" x14ac:dyDescent="0.25">
      <c r="N294" s="278">
        <f t="shared" si="28"/>
        <v>0</v>
      </c>
      <c r="O294" s="152"/>
      <c r="P294" s="96">
        <f t="shared" si="29"/>
        <v>0</v>
      </c>
      <c r="Q294" s="97">
        <f>IF(B294=2013, P294/3,P294)+O294</f>
        <v>0</v>
      </c>
    </row>
    <row r="295" spans="5:18" x14ac:dyDescent="0.25">
      <c r="N295" s="278">
        <f t="shared" si="28"/>
        <v>0</v>
      </c>
      <c r="O295" s="152"/>
      <c r="P295" s="96">
        <f t="shared" si="29"/>
        <v>0</v>
      </c>
      <c r="Q295" s="97">
        <f>IF(B295=2013, P295/3,P295)+O295</f>
        <v>0</v>
      </c>
    </row>
    <row r="296" spans="5:18" x14ac:dyDescent="0.25">
      <c r="E296" s="154"/>
      <c r="F296" s="154"/>
      <c r="O296" s="152"/>
      <c r="P296" s="96"/>
      <c r="Q296" s="97"/>
    </row>
    <row r="297" spans="5:18" x14ac:dyDescent="0.25">
      <c r="E297" s="154"/>
      <c r="F297" s="154"/>
      <c r="O297" s="152"/>
      <c r="P297" s="96"/>
      <c r="Q297" s="97"/>
    </row>
    <row r="298" spans="5:18" x14ac:dyDescent="0.25">
      <c r="E298" s="154"/>
      <c r="F298" s="154"/>
      <c r="I298" s="108"/>
      <c r="J298" s="108"/>
      <c r="K298" s="108"/>
      <c r="L298" s="108"/>
      <c r="M298" s="108"/>
      <c r="N298" s="278">
        <f t="shared" si="28"/>
        <v>0</v>
      </c>
      <c r="O298" s="101"/>
      <c r="P298" s="96">
        <f t="shared" si="29"/>
        <v>0</v>
      </c>
      <c r="Q298" s="97">
        <f t="shared" ref="Q298:Q305" si="30">IF(B298=2013, P298/3,P298)+O298</f>
        <v>0</v>
      </c>
      <c r="R298" s="108"/>
    </row>
    <row r="299" spans="5:18" x14ac:dyDescent="0.25">
      <c r="E299" s="154"/>
      <c r="F299" s="154"/>
      <c r="I299" s="108"/>
      <c r="J299" s="108"/>
      <c r="K299" s="108"/>
      <c r="L299" s="108"/>
      <c r="M299" s="108"/>
      <c r="N299" s="278">
        <f t="shared" si="28"/>
        <v>0</v>
      </c>
      <c r="O299" s="101"/>
      <c r="P299" s="96">
        <f t="shared" si="29"/>
        <v>0</v>
      </c>
      <c r="Q299" s="97">
        <f t="shared" si="30"/>
        <v>0</v>
      </c>
      <c r="R299" s="108"/>
    </row>
    <row r="300" spans="5:18" x14ac:dyDescent="0.25">
      <c r="N300" s="278">
        <f t="shared" si="28"/>
        <v>0</v>
      </c>
      <c r="O300" s="152"/>
      <c r="P300" s="96">
        <f t="shared" si="29"/>
        <v>0</v>
      </c>
      <c r="Q300" s="97">
        <f t="shared" si="30"/>
        <v>0</v>
      </c>
    </row>
    <row r="301" spans="5:18" x14ac:dyDescent="0.25">
      <c r="N301" s="278">
        <f t="shared" si="28"/>
        <v>0</v>
      </c>
      <c r="O301" s="152"/>
      <c r="P301" s="96">
        <f t="shared" si="29"/>
        <v>0</v>
      </c>
      <c r="Q301" s="97">
        <f t="shared" si="30"/>
        <v>0</v>
      </c>
    </row>
    <row r="302" spans="5:18" x14ac:dyDescent="0.25">
      <c r="I302" s="108"/>
      <c r="J302" s="108"/>
      <c r="K302" s="108"/>
      <c r="L302" s="108"/>
      <c r="M302" s="108"/>
      <c r="N302" s="278">
        <f t="shared" si="28"/>
        <v>0</v>
      </c>
      <c r="O302" s="122"/>
      <c r="P302" s="96">
        <f t="shared" si="29"/>
        <v>0</v>
      </c>
      <c r="Q302" s="97">
        <f t="shared" si="30"/>
        <v>0</v>
      </c>
      <c r="R302" s="108"/>
    </row>
    <row r="303" spans="5:18" x14ac:dyDescent="0.25">
      <c r="N303" s="278">
        <f t="shared" si="28"/>
        <v>0</v>
      </c>
      <c r="O303" s="152"/>
      <c r="P303" s="96">
        <f t="shared" si="29"/>
        <v>0</v>
      </c>
      <c r="Q303" s="97">
        <f t="shared" si="30"/>
        <v>0</v>
      </c>
    </row>
    <row r="304" spans="5:18" x14ac:dyDescent="0.25">
      <c r="I304" s="108"/>
      <c r="J304" s="108"/>
      <c r="K304" s="108"/>
      <c r="L304" s="108"/>
      <c r="M304" s="108"/>
      <c r="N304" s="278">
        <f t="shared" si="28"/>
        <v>0</v>
      </c>
      <c r="O304" s="122"/>
      <c r="P304" s="96">
        <f t="shared" si="29"/>
        <v>0</v>
      </c>
      <c r="Q304" s="97">
        <f t="shared" si="30"/>
        <v>0</v>
      </c>
      <c r="R304" s="108"/>
    </row>
    <row r="305" spans="5:18" x14ac:dyDescent="0.25">
      <c r="N305" s="278">
        <f t="shared" si="28"/>
        <v>0</v>
      </c>
      <c r="O305" s="152"/>
      <c r="P305" s="96">
        <f t="shared" si="29"/>
        <v>0</v>
      </c>
      <c r="Q305" s="97">
        <f t="shared" si="30"/>
        <v>0</v>
      </c>
    </row>
    <row r="306" spans="5:18" x14ac:dyDescent="0.25">
      <c r="I306" s="154"/>
      <c r="J306" s="154"/>
      <c r="K306" s="154"/>
      <c r="L306" s="154"/>
      <c r="M306" s="154"/>
      <c r="O306" s="152"/>
      <c r="P306" s="96"/>
      <c r="Q306" s="97"/>
      <c r="R306" s="154"/>
    </row>
    <row r="307" spans="5:18" x14ac:dyDescent="0.25">
      <c r="I307" s="154"/>
      <c r="J307" s="154"/>
      <c r="K307" s="154"/>
      <c r="L307" s="154"/>
      <c r="M307" s="154"/>
      <c r="N307" s="278">
        <f t="shared" si="28"/>
        <v>0</v>
      </c>
      <c r="O307" s="152"/>
      <c r="P307" s="96">
        <f t="shared" si="29"/>
        <v>0</v>
      </c>
      <c r="Q307" s="97">
        <f t="shared" ref="Q307:Q316" si="31">IF(B307=2013, P307/3,P307)+O307</f>
        <v>0</v>
      </c>
      <c r="R307" s="154"/>
    </row>
    <row r="308" spans="5:18" x14ac:dyDescent="0.25">
      <c r="N308" s="278">
        <f t="shared" si="28"/>
        <v>0</v>
      </c>
      <c r="O308" s="152"/>
      <c r="P308" s="96">
        <f t="shared" si="29"/>
        <v>0</v>
      </c>
      <c r="Q308" s="97">
        <f t="shared" si="31"/>
        <v>0</v>
      </c>
    </row>
    <row r="309" spans="5:18" x14ac:dyDescent="0.25">
      <c r="N309" s="278">
        <f t="shared" si="28"/>
        <v>0</v>
      </c>
      <c r="O309" s="152"/>
      <c r="P309" s="96">
        <f t="shared" si="29"/>
        <v>0</v>
      </c>
      <c r="Q309" s="97">
        <f t="shared" si="31"/>
        <v>0</v>
      </c>
    </row>
    <row r="310" spans="5:18" x14ac:dyDescent="0.25">
      <c r="N310" s="278">
        <f t="shared" si="28"/>
        <v>0</v>
      </c>
      <c r="O310" s="152"/>
      <c r="P310" s="96">
        <f t="shared" si="29"/>
        <v>0</v>
      </c>
      <c r="Q310" s="97">
        <f t="shared" si="31"/>
        <v>0</v>
      </c>
    </row>
    <row r="311" spans="5:18" x14ac:dyDescent="0.25">
      <c r="N311" s="278">
        <f t="shared" si="28"/>
        <v>0</v>
      </c>
      <c r="O311" s="152"/>
      <c r="P311" s="96">
        <f t="shared" si="29"/>
        <v>0</v>
      </c>
      <c r="Q311" s="97">
        <f t="shared" si="31"/>
        <v>0</v>
      </c>
    </row>
    <row r="312" spans="5:18" x14ac:dyDescent="0.25">
      <c r="N312" s="278">
        <f t="shared" si="28"/>
        <v>0</v>
      </c>
      <c r="O312" s="152"/>
      <c r="P312" s="96">
        <f t="shared" si="29"/>
        <v>0</v>
      </c>
      <c r="Q312" s="97">
        <f t="shared" si="31"/>
        <v>0</v>
      </c>
    </row>
    <row r="313" spans="5:18" x14ac:dyDescent="0.25">
      <c r="N313" s="278">
        <f t="shared" si="28"/>
        <v>0</v>
      </c>
      <c r="O313" s="152"/>
      <c r="P313" s="96">
        <f t="shared" si="29"/>
        <v>0</v>
      </c>
      <c r="Q313" s="97">
        <f t="shared" si="31"/>
        <v>0</v>
      </c>
    </row>
    <row r="314" spans="5:18" x14ac:dyDescent="0.25">
      <c r="N314" s="278">
        <f t="shared" si="28"/>
        <v>0</v>
      </c>
      <c r="O314" s="152"/>
      <c r="P314" s="96">
        <f t="shared" si="29"/>
        <v>0</v>
      </c>
      <c r="Q314" s="97">
        <f t="shared" si="31"/>
        <v>0</v>
      </c>
    </row>
    <row r="315" spans="5:18" x14ac:dyDescent="0.25">
      <c r="N315" s="278">
        <f t="shared" si="28"/>
        <v>0</v>
      </c>
      <c r="O315" s="152"/>
      <c r="P315" s="96">
        <f t="shared" si="29"/>
        <v>0</v>
      </c>
      <c r="Q315" s="97">
        <f t="shared" si="31"/>
        <v>0</v>
      </c>
    </row>
    <row r="316" spans="5:18" x14ac:dyDescent="0.25">
      <c r="E316" s="108"/>
      <c r="F316" s="108"/>
      <c r="H316" s="101"/>
      <c r="N316" s="278">
        <f t="shared" si="28"/>
        <v>0</v>
      </c>
      <c r="O316" s="152"/>
      <c r="P316" s="96">
        <f t="shared" si="29"/>
        <v>0</v>
      </c>
      <c r="Q316" s="97">
        <f t="shared" si="31"/>
        <v>0</v>
      </c>
    </row>
    <row r="317" spans="5:18" x14ac:dyDescent="0.25">
      <c r="O317" s="152"/>
      <c r="P317" s="96"/>
      <c r="Q317" s="97"/>
    </row>
    <row r="318" spans="5:18" x14ac:dyDescent="0.25">
      <c r="N318" s="278">
        <f t="shared" si="28"/>
        <v>0</v>
      </c>
      <c r="O318" s="152"/>
      <c r="P318" s="96">
        <f t="shared" si="29"/>
        <v>0</v>
      </c>
      <c r="Q318" s="97">
        <f t="shared" ref="Q318:Q334" si="32">IF(B318=2013, P318/3,P318)+O318</f>
        <v>0</v>
      </c>
    </row>
    <row r="319" spans="5:18" x14ac:dyDescent="0.25">
      <c r="E319" s="3"/>
      <c r="F319" s="3"/>
      <c r="N319" s="278">
        <f t="shared" si="28"/>
        <v>0</v>
      </c>
      <c r="O319" s="152"/>
      <c r="P319" s="96">
        <f t="shared" si="29"/>
        <v>0</v>
      </c>
      <c r="Q319" s="97">
        <f t="shared" si="32"/>
        <v>0</v>
      </c>
    </row>
    <row r="320" spans="5:18" x14ac:dyDescent="0.25">
      <c r="N320" s="278">
        <f t="shared" si="28"/>
        <v>0</v>
      </c>
      <c r="O320" s="152"/>
      <c r="P320" s="96">
        <f t="shared" si="29"/>
        <v>0</v>
      </c>
      <c r="Q320" s="97">
        <f t="shared" si="32"/>
        <v>0</v>
      </c>
    </row>
    <row r="321" spans="5:18" x14ac:dyDescent="0.25">
      <c r="E321" s="108"/>
      <c r="F321" s="108"/>
      <c r="H321" s="101"/>
      <c r="N321" s="278">
        <f t="shared" si="28"/>
        <v>0</v>
      </c>
      <c r="O321" s="152"/>
      <c r="P321" s="96">
        <f t="shared" si="29"/>
        <v>0</v>
      </c>
      <c r="Q321" s="97">
        <f t="shared" si="32"/>
        <v>0</v>
      </c>
    </row>
    <row r="322" spans="5:18" x14ac:dyDescent="0.25">
      <c r="E322" s="108"/>
      <c r="F322" s="108"/>
      <c r="H322" s="101"/>
      <c r="I322" s="108"/>
      <c r="J322" s="108"/>
      <c r="K322" s="108"/>
      <c r="L322" s="108"/>
      <c r="M322" s="108"/>
      <c r="N322" s="278">
        <f t="shared" si="28"/>
        <v>0</v>
      </c>
      <c r="O322" s="101"/>
      <c r="P322" s="96">
        <f t="shared" si="29"/>
        <v>0</v>
      </c>
      <c r="Q322" s="97">
        <f t="shared" si="32"/>
        <v>0</v>
      </c>
      <c r="R322" s="108"/>
    </row>
    <row r="323" spans="5:18" x14ac:dyDescent="0.25">
      <c r="N323" s="278">
        <f t="shared" si="28"/>
        <v>0</v>
      </c>
      <c r="O323" s="152"/>
      <c r="P323" s="96">
        <f t="shared" si="29"/>
        <v>0</v>
      </c>
      <c r="Q323" s="97">
        <f t="shared" si="32"/>
        <v>0</v>
      </c>
    </row>
    <row r="324" spans="5:18" x14ac:dyDescent="0.25">
      <c r="N324" s="278">
        <f t="shared" si="28"/>
        <v>0</v>
      </c>
      <c r="O324" s="152"/>
      <c r="P324" s="96">
        <f t="shared" si="29"/>
        <v>0</v>
      </c>
      <c r="Q324" s="97">
        <f t="shared" si="32"/>
        <v>0</v>
      </c>
    </row>
    <row r="325" spans="5:18" x14ac:dyDescent="0.25">
      <c r="N325" s="278">
        <f t="shared" si="28"/>
        <v>0</v>
      </c>
      <c r="O325" s="152"/>
      <c r="P325" s="96">
        <f t="shared" si="29"/>
        <v>0</v>
      </c>
      <c r="Q325" s="97">
        <f t="shared" si="32"/>
        <v>0</v>
      </c>
    </row>
    <row r="326" spans="5:18" x14ac:dyDescent="0.25">
      <c r="N326" s="278">
        <f t="shared" si="28"/>
        <v>0</v>
      </c>
      <c r="O326" s="152"/>
      <c r="P326" s="96">
        <f t="shared" si="29"/>
        <v>0</v>
      </c>
      <c r="Q326" s="97">
        <f t="shared" si="32"/>
        <v>0</v>
      </c>
    </row>
    <row r="327" spans="5:18" x14ac:dyDescent="0.25">
      <c r="N327" s="278">
        <f t="shared" si="28"/>
        <v>0</v>
      </c>
      <c r="O327" s="152"/>
      <c r="P327" s="96">
        <f t="shared" si="29"/>
        <v>0</v>
      </c>
      <c r="Q327" s="97">
        <f t="shared" si="32"/>
        <v>0</v>
      </c>
    </row>
    <row r="328" spans="5:18" x14ac:dyDescent="0.25">
      <c r="N328" s="278">
        <f t="shared" si="28"/>
        <v>0</v>
      </c>
      <c r="O328" s="152"/>
      <c r="P328" s="96">
        <f t="shared" si="29"/>
        <v>0</v>
      </c>
      <c r="Q328" s="97">
        <f t="shared" si="32"/>
        <v>0</v>
      </c>
    </row>
    <row r="329" spans="5:18" x14ac:dyDescent="0.25">
      <c r="N329" s="278">
        <f t="shared" si="28"/>
        <v>0</v>
      </c>
      <c r="O329" s="152"/>
      <c r="P329" s="96">
        <f t="shared" si="29"/>
        <v>0</v>
      </c>
      <c r="Q329" s="97">
        <f t="shared" si="32"/>
        <v>0</v>
      </c>
    </row>
    <row r="330" spans="5:18" x14ac:dyDescent="0.25">
      <c r="N330" s="278">
        <f t="shared" si="28"/>
        <v>0</v>
      </c>
      <c r="O330" s="152"/>
      <c r="P330" s="96">
        <f t="shared" si="29"/>
        <v>0</v>
      </c>
      <c r="Q330" s="97">
        <f t="shared" si="32"/>
        <v>0</v>
      </c>
    </row>
    <row r="331" spans="5:18" x14ac:dyDescent="0.25">
      <c r="N331" s="278">
        <f t="shared" si="28"/>
        <v>0</v>
      </c>
      <c r="O331" s="152"/>
      <c r="P331" s="96">
        <f t="shared" si="29"/>
        <v>0</v>
      </c>
      <c r="Q331" s="97">
        <f t="shared" si="32"/>
        <v>0</v>
      </c>
    </row>
    <row r="332" spans="5:18" x14ac:dyDescent="0.25">
      <c r="N332" s="278">
        <f t="shared" si="28"/>
        <v>0</v>
      </c>
      <c r="P332" s="96">
        <f t="shared" si="29"/>
        <v>0</v>
      </c>
      <c r="Q332" s="97">
        <f t="shared" si="32"/>
        <v>0</v>
      </c>
    </row>
    <row r="333" spans="5:18" x14ac:dyDescent="0.25">
      <c r="N333" s="278">
        <f t="shared" si="28"/>
        <v>0</v>
      </c>
      <c r="O333" s="152"/>
      <c r="P333" s="96">
        <f t="shared" si="29"/>
        <v>0</v>
      </c>
      <c r="Q333" s="97">
        <f t="shared" si="32"/>
        <v>0</v>
      </c>
    </row>
    <row r="334" spans="5:18" x14ac:dyDescent="0.25">
      <c r="N334" s="278">
        <f t="shared" si="28"/>
        <v>0</v>
      </c>
      <c r="P334" s="96">
        <f t="shared" si="29"/>
        <v>0</v>
      </c>
      <c r="Q334" s="97">
        <f t="shared" si="32"/>
        <v>0</v>
      </c>
    </row>
    <row r="335" spans="5:18" x14ac:dyDescent="0.25">
      <c r="P335" s="96"/>
      <c r="Q335" s="97"/>
    </row>
    <row r="336" spans="5:18" x14ac:dyDescent="0.25">
      <c r="N336" s="278">
        <f t="shared" si="28"/>
        <v>0</v>
      </c>
      <c r="P336" s="96">
        <f t="shared" si="29"/>
        <v>0</v>
      </c>
      <c r="Q336" s="97">
        <f t="shared" ref="Q336:Q351" si="33">IF(B336=2013, P336/3,P336)+O336</f>
        <v>0</v>
      </c>
    </row>
    <row r="337" spans="14:17" x14ac:dyDescent="0.25">
      <c r="N337" s="278">
        <f t="shared" si="28"/>
        <v>0</v>
      </c>
      <c r="P337" s="96">
        <f t="shared" si="29"/>
        <v>0</v>
      </c>
      <c r="Q337" s="97">
        <f t="shared" si="33"/>
        <v>0</v>
      </c>
    </row>
    <row r="338" spans="14:17" x14ac:dyDescent="0.25">
      <c r="N338" s="278">
        <f t="shared" si="28"/>
        <v>0</v>
      </c>
      <c r="P338" s="96">
        <f t="shared" si="29"/>
        <v>0</v>
      </c>
      <c r="Q338" s="97">
        <f t="shared" si="33"/>
        <v>0</v>
      </c>
    </row>
    <row r="339" spans="14:17" x14ac:dyDescent="0.25">
      <c r="N339" s="278">
        <f t="shared" si="28"/>
        <v>0</v>
      </c>
      <c r="P339" s="96">
        <f t="shared" si="29"/>
        <v>0</v>
      </c>
      <c r="Q339" s="97">
        <f t="shared" si="33"/>
        <v>0</v>
      </c>
    </row>
    <row r="340" spans="14:17" x14ac:dyDescent="0.25">
      <c r="N340" s="278">
        <f t="shared" si="28"/>
        <v>0</v>
      </c>
      <c r="P340" s="96">
        <f t="shared" si="29"/>
        <v>0</v>
      </c>
      <c r="Q340" s="97">
        <f t="shared" si="33"/>
        <v>0</v>
      </c>
    </row>
    <row r="341" spans="14:17" x14ac:dyDescent="0.25">
      <c r="N341" s="278">
        <f t="shared" si="28"/>
        <v>0</v>
      </c>
      <c r="P341" s="96">
        <f t="shared" si="29"/>
        <v>0</v>
      </c>
      <c r="Q341" s="97">
        <f t="shared" si="33"/>
        <v>0</v>
      </c>
    </row>
    <row r="342" spans="14:17" x14ac:dyDescent="0.25">
      <c r="N342" s="278">
        <f t="shared" si="28"/>
        <v>0</v>
      </c>
      <c r="P342" s="96">
        <f t="shared" si="29"/>
        <v>0</v>
      </c>
      <c r="Q342" s="97">
        <f t="shared" si="33"/>
        <v>0</v>
      </c>
    </row>
    <row r="343" spans="14:17" x14ac:dyDescent="0.25">
      <c r="N343" s="278">
        <f t="shared" si="28"/>
        <v>0</v>
      </c>
      <c r="P343" s="96">
        <f t="shared" si="29"/>
        <v>0</v>
      </c>
      <c r="Q343" s="97">
        <f t="shared" si="33"/>
        <v>0</v>
      </c>
    </row>
    <row r="344" spans="14:17" x14ac:dyDescent="0.25">
      <c r="N344" s="278">
        <f t="shared" si="28"/>
        <v>0</v>
      </c>
      <c r="P344" s="96">
        <f t="shared" si="29"/>
        <v>0</v>
      </c>
      <c r="Q344" s="97">
        <f t="shared" si="33"/>
        <v>0</v>
      </c>
    </row>
    <row r="345" spans="14:17" x14ac:dyDescent="0.25">
      <c r="N345" s="278">
        <f t="shared" si="28"/>
        <v>0</v>
      </c>
      <c r="P345" s="96">
        <f t="shared" si="29"/>
        <v>0</v>
      </c>
      <c r="Q345" s="97">
        <f t="shared" si="33"/>
        <v>0</v>
      </c>
    </row>
    <row r="346" spans="14:17" x14ac:dyDescent="0.25">
      <c r="N346" s="278">
        <f t="shared" si="28"/>
        <v>0</v>
      </c>
      <c r="P346" s="96">
        <f t="shared" si="29"/>
        <v>0</v>
      </c>
      <c r="Q346" s="97">
        <f t="shared" si="33"/>
        <v>0</v>
      </c>
    </row>
    <row r="347" spans="14:17" x14ac:dyDescent="0.25">
      <c r="N347" s="278">
        <f t="shared" si="28"/>
        <v>0</v>
      </c>
      <c r="P347" s="96">
        <f t="shared" si="29"/>
        <v>0</v>
      </c>
      <c r="Q347" s="97">
        <f t="shared" si="33"/>
        <v>0</v>
      </c>
    </row>
    <row r="348" spans="14:17" x14ac:dyDescent="0.25">
      <c r="N348" s="278">
        <f t="shared" si="28"/>
        <v>0</v>
      </c>
      <c r="P348" s="96">
        <f t="shared" si="29"/>
        <v>0</v>
      </c>
      <c r="Q348" s="97">
        <f t="shared" si="33"/>
        <v>0</v>
      </c>
    </row>
    <row r="349" spans="14:17" x14ac:dyDescent="0.25">
      <c r="N349" s="278">
        <f t="shared" ref="N349:N356" si="34">AB349</f>
        <v>0</v>
      </c>
      <c r="P349" s="96">
        <f t="shared" ref="P349:P356" si="35">H349+I349+J349+K349+L349+M349</f>
        <v>0</v>
      </c>
      <c r="Q349" s="97">
        <f t="shared" si="33"/>
        <v>0</v>
      </c>
    </row>
    <row r="350" spans="14:17" x14ac:dyDescent="0.25">
      <c r="N350" s="278">
        <f t="shared" si="34"/>
        <v>0</v>
      </c>
      <c r="P350" s="96">
        <f t="shared" si="35"/>
        <v>0</v>
      </c>
      <c r="Q350" s="97">
        <f t="shared" si="33"/>
        <v>0</v>
      </c>
    </row>
    <row r="351" spans="14:17" x14ac:dyDescent="0.25">
      <c r="N351" s="278">
        <f t="shared" si="34"/>
        <v>0</v>
      </c>
      <c r="P351" s="96">
        <f t="shared" si="35"/>
        <v>0</v>
      </c>
      <c r="Q351" s="97">
        <f t="shared" si="33"/>
        <v>0</v>
      </c>
    </row>
    <row r="352" spans="14:17" x14ac:dyDescent="0.25">
      <c r="P352" s="96"/>
      <c r="Q352" s="97"/>
    </row>
    <row r="353" spans="14:17" x14ac:dyDescent="0.25">
      <c r="N353" s="278">
        <f t="shared" si="34"/>
        <v>0</v>
      </c>
      <c r="P353" s="96">
        <f t="shared" si="35"/>
        <v>0</v>
      </c>
      <c r="Q353" s="97">
        <f>IF(B353=2013, P353/3,P353)+O353</f>
        <v>0</v>
      </c>
    </row>
    <row r="354" spans="14:17" x14ac:dyDescent="0.25">
      <c r="P354" s="96"/>
      <c r="Q354" s="97"/>
    </row>
    <row r="355" spans="14:17" x14ac:dyDescent="0.25">
      <c r="N355" s="278">
        <f t="shared" si="34"/>
        <v>0</v>
      </c>
      <c r="P355" s="96">
        <f t="shared" si="35"/>
        <v>0</v>
      </c>
      <c r="Q355" s="97">
        <f>IF(B355=2013, P355/3,P355)+O355</f>
        <v>0</v>
      </c>
    </row>
    <row r="356" spans="14:17" x14ac:dyDescent="0.25">
      <c r="N356" s="278">
        <f t="shared" si="34"/>
        <v>0</v>
      </c>
      <c r="P356" s="96">
        <f t="shared" si="35"/>
        <v>0</v>
      </c>
      <c r="Q356" s="97">
        <f>IF(B356=2013, P356/3,P356)+O356</f>
        <v>0</v>
      </c>
    </row>
  </sheetData>
  <autoFilter ref="B1:B52" xr:uid="{00000000-0009-0000-0000-000000000000}"/>
  <sortState xmlns:xlrd2="http://schemas.microsoft.com/office/spreadsheetml/2017/richdata2" ref="A6:AV48">
    <sortCondition ref="A48"/>
  </sortState>
  <mergeCells count="4">
    <mergeCell ref="A1:B2"/>
    <mergeCell ref="AM3:AN3"/>
    <mergeCell ref="W3:X3"/>
    <mergeCell ref="L3:M3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359"/>
  <sheetViews>
    <sheetView zoomScale="80" zoomScaleNormal="80" workbookViewId="0">
      <pane xSplit="4" ySplit="4" topLeftCell="E251" activePane="bottomRight" state="frozen"/>
      <selection pane="topRight" activeCell="E1" sqref="E1"/>
      <selection pane="bottomLeft" activeCell="A3" sqref="A3"/>
      <selection pane="bottomRight" activeCell="G313" sqref="G313"/>
    </sheetView>
  </sheetViews>
  <sheetFormatPr defaultRowHeight="15" x14ac:dyDescent="0.25"/>
  <cols>
    <col min="1" max="1" width="22" style="11" bestFit="1" customWidth="1"/>
    <col min="2" max="2" width="27.5703125" style="11" bestFit="1" customWidth="1"/>
    <col min="3" max="3" width="8.140625" style="3" bestFit="1" customWidth="1"/>
    <col min="4" max="4" width="12.28515625" style="16" customWidth="1"/>
    <col min="5" max="5" width="12.28515625" style="283" customWidth="1"/>
    <col min="6" max="6" width="12.28515625" style="278" customWidth="1"/>
    <col min="7" max="7" width="12.28515625" style="120" customWidth="1"/>
    <col min="8" max="8" width="2.7109375" style="13" customWidth="1"/>
    <col min="9" max="9" width="12.28515625" style="261" customWidth="1"/>
    <col min="10" max="10" width="12.28515625" style="246" customWidth="1"/>
    <col min="11" max="11" width="12.28515625" style="241" customWidth="1"/>
    <col min="12" max="12" width="12.28515625" style="228" customWidth="1"/>
    <col min="13" max="13" width="12.28515625" style="215" customWidth="1"/>
    <col min="14" max="14" width="12.28515625" style="267" customWidth="1"/>
    <col min="15" max="15" width="12.28515625" style="120" customWidth="1"/>
    <col min="16" max="17" width="9.140625" style="3"/>
    <col min="18" max="18" width="2.85546875" style="215" customWidth="1"/>
    <col min="19" max="19" width="12.28515625" style="201" customWidth="1"/>
    <col min="20" max="20" width="12.28515625" style="192" customWidth="1"/>
    <col min="21" max="21" width="12.28515625" style="183" customWidth="1"/>
    <col min="22" max="22" width="12.28515625" style="168" customWidth="1"/>
    <col min="23" max="24" width="12.28515625" style="50" customWidth="1"/>
    <col min="25" max="25" width="12.28515625" style="215" customWidth="1"/>
    <col min="26" max="26" width="11" style="50" customWidth="1"/>
    <col min="27" max="28" width="9.140625" style="3"/>
    <col min="29" max="29" width="2.7109375" style="13" customWidth="1"/>
    <col min="30" max="30" width="10.42578125" style="13" customWidth="1"/>
    <col min="31" max="35" width="11" style="50" customWidth="1"/>
    <col min="36" max="37" width="9.140625" style="3"/>
    <col min="38" max="38" width="3.7109375" style="36" customWidth="1"/>
    <col min="39" max="39" width="9.85546875" style="50" customWidth="1"/>
    <col min="40" max="40" width="11" style="50" customWidth="1"/>
    <col min="41" max="44" width="9.85546875" style="50" customWidth="1"/>
    <col min="45" max="45" width="9.85546875" style="36" customWidth="1"/>
    <col min="46" max="46" width="10.85546875" style="3" customWidth="1"/>
    <col min="47" max="16384" width="9.140625" style="3"/>
  </cols>
  <sheetData>
    <row r="1" spans="1:67" s="19" customFormat="1" ht="15" customHeight="1" x14ac:dyDescent="0.5">
      <c r="A1" s="296" t="s">
        <v>10</v>
      </c>
      <c r="B1" s="297"/>
      <c r="C1" s="297"/>
      <c r="D1" s="28"/>
      <c r="E1" s="271"/>
      <c r="F1" s="271"/>
      <c r="G1" s="102"/>
      <c r="H1" s="211"/>
      <c r="I1" s="271"/>
      <c r="J1" s="102"/>
      <c r="K1" s="102"/>
      <c r="L1" s="102"/>
      <c r="M1" s="102"/>
      <c r="N1" s="102"/>
      <c r="O1" s="102"/>
      <c r="P1" s="3"/>
      <c r="Q1" s="3"/>
      <c r="R1" s="102"/>
      <c r="S1" s="102"/>
      <c r="T1" s="102"/>
      <c r="U1" s="102"/>
      <c r="V1" s="102"/>
      <c r="W1" s="102"/>
      <c r="X1" s="102"/>
      <c r="Y1" s="102"/>
      <c r="Z1" s="102"/>
      <c r="AA1" s="3"/>
      <c r="AB1" s="3"/>
      <c r="AC1" s="211"/>
      <c r="AD1" s="211"/>
      <c r="AE1" s="102"/>
      <c r="AF1" s="102"/>
      <c r="AG1" s="102"/>
      <c r="AH1" s="102"/>
      <c r="AI1" s="102"/>
      <c r="AJ1" s="18"/>
      <c r="AK1" s="18"/>
      <c r="AL1" s="99"/>
      <c r="AM1" s="28"/>
      <c r="AN1" s="28"/>
      <c r="AO1" s="28"/>
      <c r="AP1" s="28"/>
      <c r="AQ1" s="28"/>
      <c r="AR1" s="28"/>
      <c r="AS1" s="2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</row>
    <row r="2" spans="1:67" s="19" customFormat="1" ht="15" customHeight="1" x14ac:dyDescent="0.5">
      <c r="A2" s="298"/>
      <c r="B2" s="299"/>
      <c r="C2" s="299"/>
      <c r="D2" s="29"/>
      <c r="E2" s="272"/>
      <c r="F2" s="272"/>
      <c r="G2" s="103"/>
      <c r="H2" s="212"/>
      <c r="I2" s="272"/>
      <c r="J2" s="103"/>
      <c r="K2" s="103"/>
      <c r="L2" s="103"/>
      <c r="M2" s="103"/>
      <c r="N2" s="103"/>
      <c r="O2" s="103"/>
      <c r="P2" s="3"/>
      <c r="Q2" s="3"/>
      <c r="R2" s="103"/>
      <c r="S2" s="103"/>
      <c r="T2" s="103"/>
      <c r="U2" s="103"/>
      <c r="V2" s="103"/>
      <c r="W2" s="103"/>
      <c r="X2" s="103"/>
      <c r="Y2" s="103"/>
      <c r="Z2" s="103"/>
      <c r="AA2" s="3"/>
      <c r="AB2" s="3"/>
      <c r="AC2" s="212"/>
      <c r="AD2" s="212"/>
      <c r="AE2" s="103"/>
      <c r="AF2" s="103"/>
      <c r="AG2" s="103"/>
      <c r="AH2" s="103"/>
      <c r="AI2" s="103"/>
      <c r="AJ2" s="20"/>
      <c r="AK2" s="20"/>
      <c r="AL2" s="100"/>
      <c r="AM2" s="29"/>
      <c r="AN2" s="29"/>
      <c r="AO2" s="29"/>
      <c r="AP2" s="29"/>
      <c r="AQ2" s="29"/>
      <c r="AR2" s="29"/>
      <c r="AS2" s="29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</row>
    <row r="3" spans="1:67" x14ac:dyDescent="0.25">
      <c r="D3" s="36"/>
      <c r="E3" s="282"/>
      <c r="F3" s="275"/>
      <c r="G3" s="275"/>
      <c r="H3" s="279"/>
      <c r="I3" s="302">
        <v>2025</v>
      </c>
      <c r="J3" s="311"/>
      <c r="K3" s="311"/>
      <c r="L3" s="311"/>
      <c r="M3" s="303"/>
      <c r="N3" s="266"/>
      <c r="O3" s="259"/>
      <c r="P3" s="6"/>
      <c r="Q3" s="6"/>
      <c r="R3" s="36"/>
      <c r="S3" s="312">
        <v>2024</v>
      </c>
      <c r="T3" s="313"/>
      <c r="U3" s="313"/>
      <c r="V3" s="313"/>
      <c r="W3" s="313"/>
      <c r="X3" s="314"/>
      <c r="Y3" s="219"/>
      <c r="AA3" s="6"/>
      <c r="AB3" s="6"/>
      <c r="AC3" s="203"/>
      <c r="AD3" s="203"/>
      <c r="AG3" s="50">
        <v>2023</v>
      </c>
      <c r="AM3" s="308">
        <v>2022</v>
      </c>
      <c r="AN3" s="309"/>
      <c r="AO3" s="309"/>
      <c r="AP3" s="309"/>
      <c r="AQ3" s="309"/>
      <c r="AR3" s="309"/>
      <c r="AS3" s="310"/>
    </row>
    <row r="4" spans="1:67" ht="107.25" customHeight="1" x14ac:dyDescent="0.25">
      <c r="A4" s="4" t="s">
        <v>1</v>
      </c>
      <c r="B4" s="12"/>
      <c r="C4" s="4" t="s">
        <v>3</v>
      </c>
      <c r="D4" s="49" t="s">
        <v>1399</v>
      </c>
      <c r="E4" s="291" t="s">
        <v>1398</v>
      </c>
      <c r="F4" s="281" t="s">
        <v>1363</v>
      </c>
      <c r="G4" s="273" t="s">
        <v>5</v>
      </c>
      <c r="H4" s="68"/>
      <c r="I4" s="270" t="s">
        <v>1285</v>
      </c>
      <c r="J4" s="249" t="s">
        <v>1260</v>
      </c>
      <c r="K4" s="249" t="s">
        <v>1208</v>
      </c>
      <c r="L4" s="233" t="s">
        <v>1078</v>
      </c>
      <c r="M4" s="226" t="s">
        <v>4</v>
      </c>
      <c r="N4" s="104" t="s">
        <v>543</v>
      </c>
      <c r="O4" s="273" t="s">
        <v>5</v>
      </c>
      <c r="P4" s="96" t="s">
        <v>1362</v>
      </c>
      <c r="Q4" s="97" t="s">
        <v>541</v>
      </c>
      <c r="R4" s="226"/>
      <c r="S4" s="206" t="s">
        <v>460</v>
      </c>
      <c r="T4" s="198" t="s">
        <v>390</v>
      </c>
      <c r="U4" s="174" t="s">
        <v>227</v>
      </c>
      <c r="V4" s="174" t="s">
        <v>870</v>
      </c>
      <c r="W4" s="161" t="s">
        <v>291</v>
      </c>
      <c r="X4" s="153" t="s">
        <v>4</v>
      </c>
      <c r="Y4" s="104" t="s">
        <v>543</v>
      </c>
      <c r="Z4" s="119" t="s">
        <v>5</v>
      </c>
      <c r="AA4" s="96" t="s">
        <v>1061</v>
      </c>
      <c r="AB4" s="97" t="s">
        <v>541</v>
      </c>
      <c r="AC4" s="68"/>
      <c r="AD4" s="68"/>
      <c r="AE4" s="128" t="s">
        <v>227</v>
      </c>
      <c r="AF4" s="128" t="s">
        <v>291</v>
      </c>
      <c r="AG4" s="118" t="s">
        <v>4</v>
      </c>
      <c r="AH4" s="104" t="s">
        <v>543</v>
      </c>
      <c r="AI4" s="119" t="s">
        <v>5</v>
      </c>
      <c r="AJ4" s="96" t="s">
        <v>754</v>
      </c>
      <c r="AK4" s="97" t="s">
        <v>541</v>
      </c>
      <c r="AL4" s="42"/>
      <c r="AM4" s="90" t="s">
        <v>4</v>
      </c>
      <c r="AN4" s="59" t="s">
        <v>62</v>
      </c>
      <c r="AO4" s="73" t="s">
        <v>227</v>
      </c>
      <c r="AP4" s="79" t="s">
        <v>291</v>
      </c>
      <c r="AQ4" s="81" t="s">
        <v>390</v>
      </c>
      <c r="AR4" s="93" t="s">
        <v>460</v>
      </c>
      <c r="AS4" s="33" t="s">
        <v>34</v>
      </c>
      <c r="AT4" s="95" t="s">
        <v>5</v>
      </c>
      <c r="AU4" s="96" t="s">
        <v>540</v>
      </c>
      <c r="AV4" s="97" t="s">
        <v>541</v>
      </c>
    </row>
    <row r="5" spans="1:67" s="17" customFormat="1" x14ac:dyDescent="0.25">
      <c r="A5" s="307" t="s">
        <v>542</v>
      </c>
      <c r="B5" s="307"/>
      <c r="C5" s="307"/>
      <c r="D5" s="22"/>
      <c r="E5" s="283"/>
      <c r="F5" s="278"/>
      <c r="G5" s="120"/>
      <c r="H5" s="280"/>
      <c r="I5" s="261"/>
      <c r="J5" s="246"/>
      <c r="K5" s="241"/>
      <c r="L5" s="228"/>
      <c r="M5" s="215"/>
      <c r="N5" s="267"/>
      <c r="O5" s="120"/>
      <c r="P5" s="96"/>
      <c r="Q5" s="97"/>
      <c r="R5" s="215"/>
      <c r="S5" s="201"/>
      <c r="T5" s="192"/>
      <c r="U5" s="183"/>
      <c r="V5" s="168"/>
      <c r="W5" s="50"/>
      <c r="X5" s="50"/>
      <c r="Y5" s="215"/>
      <c r="Z5" s="120"/>
      <c r="AA5" s="96"/>
      <c r="AB5" s="97"/>
      <c r="AC5" s="205"/>
      <c r="AD5" s="205"/>
      <c r="AE5" s="50"/>
      <c r="AF5" s="50"/>
      <c r="AG5" s="50"/>
      <c r="AH5" s="50"/>
      <c r="AI5" s="120"/>
      <c r="AJ5" s="68"/>
      <c r="AK5" s="68"/>
      <c r="AL5" s="22"/>
      <c r="AM5" s="50"/>
      <c r="AN5" s="50"/>
      <c r="AO5" s="50"/>
      <c r="AP5" s="50"/>
      <c r="AQ5" s="50"/>
      <c r="AR5" s="50"/>
      <c r="AS5" s="22"/>
      <c r="AT5" s="68"/>
      <c r="AU5" s="68"/>
      <c r="AV5" s="68"/>
    </row>
    <row r="6" spans="1:67" x14ac:dyDescent="0.25">
      <c r="A6" s="11" t="s">
        <v>957</v>
      </c>
      <c r="B6" s="60" t="s">
        <v>0</v>
      </c>
      <c r="C6" s="62">
        <v>2014</v>
      </c>
      <c r="D6" s="1">
        <f t="shared" ref="D6:D30" si="0">Q6+F6+E6</f>
        <v>790</v>
      </c>
      <c r="E6" s="283">
        <f>39+45</f>
        <v>84</v>
      </c>
      <c r="H6" s="280"/>
      <c r="I6" s="261">
        <f>78</f>
        <v>78</v>
      </c>
      <c r="J6" s="246">
        <f>72</f>
        <v>72</v>
      </c>
      <c r="K6" s="241">
        <f>42</f>
        <v>42</v>
      </c>
      <c r="L6" s="228">
        <f>45+39</f>
        <v>84</v>
      </c>
      <c r="N6" s="267">
        <f t="shared" ref="N6:N31" si="1">AB6</f>
        <v>430</v>
      </c>
      <c r="P6" s="96">
        <f t="shared" ref="P6:P31" si="2">I6+J6+K6+L6+M6+N6</f>
        <v>706</v>
      </c>
      <c r="Q6" s="97">
        <f t="shared" ref="Q6:Q31" si="3">IF(C6=2013, P6/3,P6)+O6</f>
        <v>706</v>
      </c>
      <c r="S6" s="201">
        <f>72</f>
        <v>72</v>
      </c>
      <c r="T6" s="192">
        <f>72</f>
        <v>72</v>
      </c>
      <c r="V6" s="168">
        <f>34+9</f>
        <v>43</v>
      </c>
      <c r="W6" s="50">
        <f>50+9</f>
        <v>59</v>
      </c>
      <c r="Y6" s="215">
        <f t="shared" ref="Y6:Y31" si="4">AK6</f>
        <v>184</v>
      </c>
      <c r="Z6" s="120"/>
      <c r="AA6" s="96">
        <f t="shared" ref="AA6:AA31" si="5">AM6+S6+T6+U6+V6+W6+X6+Y6</f>
        <v>430</v>
      </c>
      <c r="AB6" s="97">
        <f t="shared" ref="AB6:AB31" si="6">IF(C6=2017, AA6/3,AA6)+Z6</f>
        <v>430</v>
      </c>
      <c r="AC6" s="205"/>
      <c r="AD6" s="205"/>
      <c r="AE6" s="50">
        <f>42</f>
        <v>42</v>
      </c>
      <c r="AG6" s="50">
        <f>41</f>
        <v>41</v>
      </c>
      <c r="AH6" s="50">
        <f>AV6</f>
        <v>101</v>
      </c>
      <c r="AI6" s="120"/>
      <c r="AJ6" s="96">
        <f t="shared" ref="AJ6:AJ31" si="7">SUM(AE6:AH6)</f>
        <v>184</v>
      </c>
      <c r="AK6" s="97">
        <f t="shared" ref="AK6:AK31" si="8">IF(C6=2016, AJ6/3,AJ6)+AI6</f>
        <v>184</v>
      </c>
      <c r="AL6" s="22"/>
      <c r="AM6" s="41"/>
      <c r="AN6" s="41"/>
      <c r="AO6" s="41"/>
      <c r="AP6" s="41">
        <f>28+7</f>
        <v>35</v>
      </c>
      <c r="AQ6" s="41">
        <f>36+30</f>
        <v>66</v>
      </c>
      <c r="AR6" s="41"/>
      <c r="AS6" s="13"/>
      <c r="AT6" s="95"/>
      <c r="AU6" s="96">
        <f>SUM(AM6:AS6)</f>
        <v>101</v>
      </c>
      <c r="AV6" s="97">
        <f>IF(C6=2015, AU6/3,AU6)+AT6</f>
        <v>101</v>
      </c>
    </row>
    <row r="7" spans="1:67" ht="14.25" customHeight="1" x14ac:dyDescent="0.25">
      <c r="A7" s="11" t="s">
        <v>877</v>
      </c>
      <c r="B7" s="60" t="s">
        <v>0</v>
      </c>
      <c r="C7" s="62">
        <v>2016</v>
      </c>
      <c r="D7" s="1">
        <f t="shared" si="0"/>
        <v>553</v>
      </c>
      <c r="E7" s="283">
        <f>30+42</f>
        <v>72</v>
      </c>
      <c r="H7" s="280"/>
      <c r="I7" s="261">
        <f>84+9</f>
        <v>93</v>
      </c>
      <c r="J7" s="246">
        <f>58+16</f>
        <v>74</v>
      </c>
      <c r="K7" s="241">
        <f>58+16</f>
        <v>74</v>
      </c>
      <c r="L7" s="228">
        <f>42+14</f>
        <v>56</v>
      </c>
      <c r="N7" s="267">
        <f t="shared" si="1"/>
        <v>184</v>
      </c>
      <c r="P7" s="96">
        <f t="shared" si="2"/>
        <v>481</v>
      </c>
      <c r="Q7" s="97">
        <f t="shared" si="3"/>
        <v>481</v>
      </c>
      <c r="S7" s="201">
        <f>43+10</f>
        <v>53</v>
      </c>
      <c r="T7" s="192">
        <f>25+3</f>
        <v>28</v>
      </c>
      <c r="U7" s="183">
        <f>25+7</f>
        <v>32</v>
      </c>
      <c r="V7" s="168">
        <f>55+16</f>
        <v>71</v>
      </c>
      <c r="Y7" s="215">
        <f t="shared" si="4"/>
        <v>0</v>
      </c>
      <c r="Z7" s="152"/>
      <c r="AA7" s="96">
        <f t="shared" si="5"/>
        <v>184</v>
      </c>
      <c r="AB7" s="97">
        <f t="shared" si="6"/>
        <v>184</v>
      </c>
      <c r="AC7" s="205"/>
      <c r="AD7" s="205"/>
      <c r="AI7" s="120"/>
      <c r="AJ7" s="96">
        <f t="shared" si="7"/>
        <v>0</v>
      </c>
      <c r="AK7" s="97">
        <f t="shared" si="8"/>
        <v>0</v>
      </c>
      <c r="AL7" s="22"/>
      <c r="AM7" s="151"/>
      <c r="AN7" s="151"/>
      <c r="AO7" s="151"/>
      <c r="AP7" s="151"/>
      <c r="AQ7" s="151"/>
      <c r="AR7" s="151"/>
      <c r="AS7" s="13"/>
      <c r="AT7" s="95"/>
      <c r="AU7" s="96"/>
      <c r="AV7" s="97"/>
    </row>
    <row r="8" spans="1:67" x14ac:dyDescent="0.25">
      <c r="A8" s="11" t="s">
        <v>441</v>
      </c>
      <c r="B8" s="11" t="s">
        <v>0</v>
      </c>
      <c r="C8" s="3">
        <v>2017</v>
      </c>
      <c r="D8" s="1">
        <f>Q8+F8+E8</f>
        <v>305.33333333333337</v>
      </c>
      <c r="E8" s="108">
        <f>52+24</f>
        <v>76</v>
      </c>
      <c r="F8" s="108"/>
      <c r="H8" s="101"/>
      <c r="I8" s="108">
        <f>58</f>
        <v>58</v>
      </c>
      <c r="J8" s="108">
        <f>18+2</f>
        <v>20</v>
      </c>
      <c r="K8" s="108">
        <f>56+4</f>
        <v>60</v>
      </c>
      <c r="L8" s="108">
        <f>40+12</f>
        <v>52</v>
      </c>
      <c r="M8" s="108"/>
      <c r="N8" s="267">
        <f>AB8</f>
        <v>39.333333333333336</v>
      </c>
      <c r="P8" s="96">
        <f>I8+J8+K8+L8+M8+N8</f>
        <v>229.33333333333334</v>
      </c>
      <c r="Q8" s="97">
        <f>IF(C8=2013, P8/3,P8)+O8</f>
        <v>229.33333333333334</v>
      </c>
      <c r="R8" s="108"/>
      <c r="S8" s="108">
        <f>6+3</f>
        <v>9</v>
      </c>
      <c r="T8" s="108">
        <f>12</f>
        <v>12</v>
      </c>
      <c r="U8" s="108">
        <f>12+3</f>
        <v>15</v>
      </c>
      <c r="V8" s="108">
        <f>9+3</f>
        <v>12</v>
      </c>
      <c r="W8" s="108"/>
      <c r="X8" s="108">
        <v>15</v>
      </c>
      <c r="Y8" s="215">
        <f>AK8</f>
        <v>49</v>
      </c>
      <c r="Z8" s="122">
        <f>2</f>
        <v>2</v>
      </c>
      <c r="AA8" s="96">
        <f>AM8+S8+T8+U8+V8+W8+X8+Y8</f>
        <v>112</v>
      </c>
      <c r="AB8" s="97">
        <f>IF(C8=2017, AA8/3,AA8)+Z8</f>
        <v>39.333333333333336</v>
      </c>
      <c r="AC8" s="101"/>
      <c r="AD8" s="108">
        <f>3+18</f>
        <v>21</v>
      </c>
      <c r="AE8" s="108">
        <f>12</f>
        <v>12</v>
      </c>
      <c r="AF8" s="108">
        <f>26</f>
        <v>26</v>
      </c>
      <c r="AG8" s="108"/>
      <c r="AH8" s="108">
        <f>AV8</f>
        <v>11</v>
      </c>
      <c r="AI8" s="122"/>
      <c r="AJ8" s="96">
        <f>SUM(AE8:AH8)</f>
        <v>49</v>
      </c>
      <c r="AK8" s="97">
        <f>IF(C8=2016, AJ8/3,AJ8)+AI8</f>
        <v>49</v>
      </c>
      <c r="AL8" s="101"/>
      <c r="AM8" s="41"/>
      <c r="AN8" s="41"/>
      <c r="AO8" s="41"/>
      <c r="AP8" s="41"/>
      <c r="AQ8" s="41">
        <f>11</f>
        <v>11</v>
      </c>
      <c r="AR8" s="41"/>
      <c r="AS8" s="41"/>
      <c r="AU8" s="3">
        <f>SUM(AM8:AT8)</f>
        <v>11</v>
      </c>
      <c r="AV8" s="3">
        <f>AU8</f>
        <v>11</v>
      </c>
    </row>
    <row r="9" spans="1:67" x14ac:dyDescent="0.25">
      <c r="A9" s="11" t="s">
        <v>424</v>
      </c>
      <c r="B9" s="11" t="s">
        <v>63</v>
      </c>
      <c r="C9" s="3">
        <v>2015</v>
      </c>
      <c r="D9" s="1">
        <f t="shared" si="0"/>
        <v>744.66666666666674</v>
      </c>
      <c r="E9" s="283">
        <f>30</f>
        <v>30</v>
      </c>
      <c r="H9" s="280"/>
      <c r="I9" s="261">
        <f>42</f>
        <v>42</v>
      </c>
      <c r="J9" s="246">
        <f>93+18</f>
        <v>111</v>
      </c>
      <c r="K9" s="241">
        <f>78+15</f>
        <v>93</v>
      </c>
      <c r="L9" s="228">
        <f>96+15</f>
        <v>111</v>
      </c>
      <c r="N9" s="267">
        <f t="shared" si="1"/>
        <v>357.66666666666669</v>
      </c>
      <c r="P9" s="96">
        <f t="shared" si="2"/>
        <v>714.66666666666674</v>
      </c>
      <c r="Q9" s="97">
        <f t="shared" si="3"/>
        <v>714.66666666666674</v>
      </c>
      <c r="S9" s="201">
        <f>33+6</f>
        <v>39</v>
      </c>
      <c r="T9" s="192">
        <f>15</f>
        <v>15</v>
      </c>
      <c r="U9" s="183">
        <f>22+3+3</f>
        <v>28</v>
      </c>
      <c r="V9" s="168">
        <f>54+8+3+3</f>
        <v>68</v>
      </c>
      <c r="W9" s="50">
        <f>22+22+12+6</f>
        <v>62</v>
      </c>
      <c r="X9" s="50">
        <f>38+12</f>
        <v>50</v>
      </c>
      <c r="Y9" s="215">
        <f t="shared" si="4"/>
        <v>95.666666666666671</v>
      </c>
      <c r="Z9" s="120"/>
      <c r="AA9" s="96">
        <f t="shared" si="5"/>
        <v>357.66666666666669</v>
      </c>
      <c r="AB9" s="97">
        <f t="shared" si="6"/>
        <v>357.66666666666669</v>
      </c>
      <c r="AC9" s="205"/>
      <c r="AD9" s="205"/>
      <c r="AE9" s="50">
        <f>39</f>
        <v>39</v>
      </c>
      <c r="AF9" s="50">
        <f>50</f>
        <v>50</v>
      </c>
      <c r="AH9" s="50">
        <f>AV9</f>
        <v>6.666666666666667</v>
      </c>
      <c r="AI9" s="120"/>
      <c r="AJ9" s="96">
        <f t="shared" si="7"/>
        <v>95.666666666666671</v>
      </c>
      <c r="AK9" s="97">
        <f t="shared" si="8"/>
        <v>95.666666666666671</v>
      </c>
      <c r="AL9" s="101"/>
      <c r="AM9" s="41"/>
      <c r="AN9" s="41"/>
      <c r="AO9" s="41"/>
      <c r="AP9" s="41"/>
      <c r="AQ9" s="41">
        <f>10</f>
        <v>10</v>
      </c>
      <c r="AR9" s="41">
        <f>10</f>
        <v>10</v>
      </c>
      <c r="AS9" s="41"/>
      <c r="AT9" s="95"/>
      <c r="AU9" s="96">
        <f>SUM(AM9:AS9)</f>
        <v>20</v>
      </c>
      <c r="AV9" s="97">
        <f>IF(C9=2015, AU9/3,AU9)+AT9</f>
        <v>6.666666666666667</v>
      </c>
    </row>
    <row r="10" spans="1:67" s="52" customFormat="1" x14ac:dyDescent="0.25">
      <c r="A10" s="11" t="s">
        <v>714</v>
      </c>
      <c r="B10" s="60" t="s">
        <v>0</v>
      </c>
      <c r="C10" s="62">
        <v>2014</v>
      </c>
      <c r="D10" s="1">
        <f t="shared" si="0"/>
        <v>690</v>
      </c>
      <c r="E10" s="283">
        <f>0+45</f>
        <v>45</v>
      </c>
      <c r="F10" s="278"/>
      <c r="G10" s="120"/>
      <c r="H10" s="280"/>
      <c r="I10" s="261">
        <f>3</f>
        <v>3</v>
      </c>
      <c r="J10" s="246">
        <f>21+12</f>
        <v>33</v>
      </c>
      <c r="K10" s="241">
        <f>78+12</f>
        <v>90</v>
      </c>
      <c r="L10" s="228">
        <f>66+33</f>
        <v>99</v>
      </c>
      <c r="M10" s="215"/>
      <c r="N10" s="267">
        <f t="shared" si="1"/>
        <v>420</v>
      </c>
      <c r="O10" s="120"/>
      <c r="P10" s="96">
        <f t="shared" si="2"/>
        <v>645</v>
      </c>
      <c r="Q10" s="97">
        <f t="shared" si="3"/>
        <v>645</v>
      </c>
      <c r="R10" s="215"/>
      <c r="S10" s="201">
        <f>96+3</f>
        <v>99</v>
      </c>
      <c r="T10" s="192">
        <f>76+20</f>
        <v>96</v>
      </c>
      <c r="U10" s="183">
        <f>26+14+3+4</f>
        <v>47</v>
      </c>
      <c r="V10" s="168">
        <f>54+18+1+9</f>
        <v>82</v>
      </c>
      <c r="W10" s="50">
        <f>40+9+3+9</f>
        <v>61</v>
      </c>
      <c r="X10" s="50">
        <f>31+4</f>
        <v>35</v>
      </c>
      <c r="Y10" s="215">
        <f t="shared" si="4"/>
        <v>0</v>
      </c>
      <c r="Z10" s="152"/>
      <c r="AA10" s="96">
        <f t="shared" si="5"/>
        <v>420</v>
      </c>
      <c r="AB10" s="97">
        <f t="shared" si="6"/>
        <v>420</v>
      </c>
      <c r="AC10" s="205"/>
      <c r="AD10" s="205"/>
      <c r="AE10" s="50"/>
      <c r="AF10" s="50"/>
      <c r="AG10" s="50"/>
      <c r="AH10" s="50"/>
      <c r="AI10" s="120"/>
      <c r="AJ10" s="96">
        <f t="shared" si="7"/>
        <v>0</v>
      </c>
      <c r="AK10" s="97">
        <f t="shared" si="8"/>
        <v>0</v>
      </c>
      <c r="AL10" s="22"/>
      <c r="AM10" s="151"/>
      <c r="AN10" s="151"/>
      <c r="AO10" s="151"/>
      <c r="AP10" s="151"/>
      <c r="AQ10" s="151"/>
      <c r="AR10" s="151"/>
      <c r="AS10" s="13"/>
      <c r="AT10" s="95"/>
      <c r="AU10" s="96">
        <f>SUM(AM10:AS10)</f>
        <v>0</v>
      </c>
      <c r="AV10" s="97">
        <f>IF(C10=2015, AU10/3,AU10)+AT10</f>
        <v>0</v>
      </c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spans="1:67" x14ac:dyDescent="0.25">
      <c r="A11" s="45" t="s">
        <v>84</v>
      </c>
      <c r="B11" s="66" t="s">
        <v>63</v>
      </c>
      <c r="C11" s="46">
        <v>2016</v>
      </c>
      <c r="D11" s="1">
        <f t="shared" si="0"/>
        <v>429.33333333333331</v>
      </c>
      <c r="E11" s="154">
        <f>18</f>
        <v>18</v>
      </c>
      <c r="F11" s="154"/>
      <c r="H11" s="280"/>
      <c r="I11" s="154">
        <f>48</f>
        <v>48</v>
      </c>
      <c r="J11" s="154">
        <v>63</v>
      </c>
      <c r="K11" s="154">
        <f>54+3</f>
        <v>57</v>
      </c>
      <c r="L11" s="154"/>
      <c r="M11" s="154"/>
      <c r="N11" s="267">
        <f t="shared" si="1"/>
        <v>243.33333333333331</v>
      </c>
      <c r="P11" s="96">
        <f t="shared" si="2"/>
        <v>411.33333333333331</v>
      </c>
      <c r="Q11" s="97">
        <f t="shared" si="3"/>
        <v>411.33333333333331</v>
      </c>
      <c r="R11" s="154"/>
      <c r="S11" s="154">
        <f>54</f>
        <v>54</v>
      </c>
      <c r="T11" s="154">
        <f>21</f>
        <v>21</v>
      </c>
      <c r="U11" s="154">
        <f>21+3</f>
        <v>24</v>
      </c>
      <c r="V11" s="154">
        <f>0+3+3</f>
        <v>6</v>
      </c>
      <c r="W11" s="154">
        <f>0+12+6</f>
        <v>18</v>
      </c>
      <c r="X11" s="154">
        <f>38+6</f>
        <v>44</v>
      </c>
      <c r="Y11" s="215">
        <f t="shared" si="4"/>
        <v>76.333333333333329</v>
      </c>
      <c r="Z11" s="122"/>
      <c r="AA11" s="96">
        <f t="shared" si="5"/>
        <v>243.33333333333331</v>
      </c>
      <c r="AB11" s="97">
        <f t="shared" si="6"/>
        <v>243.33333333333331</v>
      </c>
      <c r="AC11" s="232"/>
      <c r="AD11" s="232"/>
      <c r="AE11" s="108">
        <f>36+3</f>
        <v>39</v>
      </c>
      <c r="AF11" s="108">
        <f>29+15</f>
        <v>44</v>
      </c>
      <c r="AG11" s="108">
        <f>21</f>
        <v>21</v>
      </c>
      <c r="AH11" s="108">
        <f>AV11</f>
        <v>107</v>
      </c>
      <c r="AI11" s="122">
        <f>6</f>
        <v>6</v>
      </c>
      <c r="AJ11" s="96">
        <f t="shared" si="7"/>
        <v>211</v>
      </c>
      <c r="AK11" s="97">
        <f t="shared" si="8"/>
        <v>76.333333333333329</v>
      </c>
      <c r="AL11" s="101"/>
      <c r="AM11" s="41"/>
      <c r="AN11" s="41">
        <v>45</v>
      </c>
      <c r="AO11" s="41">
        <f>18</f>
        <v>18</v>
      </c>
      <c r="AP11" s="41">
        <f>33</f>
        <v>33</v>
      </c>
      <c r="AQ11" s="41">
        <f>0</f>
        <v>0</v>
      </c>
      <c r="AR11" s="41">
        <f>11</f>
        <v>11</v>
      </c>
      <c r="AS11" s="13"/>
      <c r="AU11" s="96">
        <f>SUM(AM11:AS11)</f>
        <v>107</v>
      </c>
      <c r="AV11" s="97">
        <f>IF(C11=2015, AU11/3,AU11)+AT11</f>
        <v>107</v>
      </c>
    </row>
    <row r="12" spans="1:67" x14ac:dyDescent="0.25">
      <c r="A12" s="45" t="s">
        <v>879</v>
      </c>
      <c r="B12" s="11" t="s">
        <v>36</v>
      </c>
      <c r="C12" s="46">
        <v>2015</v>
      </c>
      <c r="D12" s="1">
        <f t="shared" si="0"/>
        <v>347</v>
      </c>
      <c r="E12" s="154">
        <f>39</f>
        <v>39</v>
      </c>
      <c r="F12" s="154">
        <f>15</f>
        <v>15</v>
      </c>
      <c r="I12" s="154">
        <f>80</f>
        <v>80</v>
      </c>
      <c r="J12" s="154">
        <f>56+12</f>
        <v>68</v>
      </c>
      <c r="K12" s="154">
        <f>41+12</f>
        <v>53</v>
      </c>
      <c r="L12" s="154">
        <f>38+11</f>
        <v>49</v>
      </c>
      <c r="M12" s="154"/>
      <c r="N12" s="267">
        <f t="shared" si="1"/>
        <v>43</v>
      </c>
      <c r="P12" s="96">
        <f t="shared" si="2"/>
        <v>293</v>
      </c>
      <c r="Q12" s="97">
        <f t="shared" si="3"/>
        <v>293</v>
      </c>
      <c r="R12" s="154"/>
      <c r="S12" s="154"/>
      <c r="T12" s="154"/>
      <c r="U12" s="154"/>
      <c r="V12" s="154">
        <f>43</f>
        <v>43</v>
      </c>
      <c r="W12" s="154"/>
      <c r="X12" s="154"/>
      <c r="Y12" s="215">
        <f t="shared" si="4"/>
        <v>0</v>
      </c>
      <c r="Z12" s="152"/>
      <c r="AA12" s="96">
        <f t="shared" si="5"/>
        <v>43</v>
      </c>
      <c r="AB12" s="97">
        <f t="shared" si="6"/>
        <v>43</v>
      </c>
      <c r="AI12" s="120"/>
      <c r="AJ12" s="96">
        <f t="shared" si="7"/>
        <v>0</v>
      </c>
      <c r="AK12" s="97">
        <f t="shared" si="8"/>
        <v>0</v>
      </c>
      <c r="AL12" s="101"/>
      <c r="AM12" s="151"/>
      <c r="AN12" s="151"/>
      <c r="AO12" s="151"/>
      <c r="AP12" s="151"/>
      <c r="AQ12" s="151"/>
      <c r="AR12" s="151"/>
      <c r="AS12" s="13"/>
      <c r="AT12" s="95"/>
      <c r="AU12" s="96"/>
      <c r="AV12" s="97"/>
    </row>
    <row r="13" spans="1:67" x14ac:dyDescent="0.25">
      <c r="A13" s="11" t="s">
        <v>1063</v>
      </c>
      <c r="B13" s="11" t="s">
        <v>231</v>
      </c>
      <c r="C13" s="3">
        <v>2014</v>
      </c>
      <c r="D13" s="1">
        <f>Q13+F13+E13</f>
        <v>317</v>
      </c>
      <c r="E13" s="283">
        <f>78+18</f>
        <v>96</v>
      </c>
      <c r="F13" s="278">
        <f>27</f>
        <v>27</v>
      </c>
      <c r="I13" s="261">
        <f>111</f>
        <v>111</v>
      </c>
      <c r="J13" s="256"/>
      <c r="K13" s="256"/>
      <c r="L13" s="256">
        <f>66+15</f>
        <v>81</v>
      </c>
      <c r="M13" s="256">
        <f>2</f>
        <v>2</v>
      </c>
      <c r="N13" s="267">
        <f>AB13</f>
        <v>0</v>
      </c>
      <c r="P13" s="96">
        <f>I13+J13+K13+L13+M13+N13</f>
        <v>194</v>
      </c>
      <c r="Q13" s="97">
        <f>IF(C13=2013, P13/3,P13)+O13</f>
        <v>194</v>
      </c>
      <c r="R13" s="256"/>
      <c r="S13" s="256"/>
      <c r="T13" s="256"/>
      <c r="U13" s="256"/>
      <c r="V13" s="256"/>
      <c r="W13" s="256"/>
      <c r="X13" s="256"/>
      <c r="Z13" s="152"/>
      <c r="AA13" s="96"/>
      <c r="AB13" s="97"/>
      <c r="AE13" s="256"/>
      <c r="AF13" s="256"/>
      <c r="AG13" s="256"/>
      <c r="AH13" s="256"/>
      <c r="AI13" s="120"/>
      <c r="AJ13" s="96"/>
      <c r="AK13" s="97"/>
      <c r="AL13" s="22"/>
      <c r="AM13" s="256"/>
      <c r="AN13" s="256"/>
      <c r="AO13" s="256"/>
      <c r="AP13" s="256"/>
      <c r="AQ13" s="256"/>
      <c r="AR13" s="256"/>
      <c r="AS13" s="254"/>
      <c r="AT13" s="95"/>
      <c r="AU13" s="96"/>
      <c r="AV13" s="97"/>
    </row>
    <row r="14" spans="1:67" x14ac:dyDescent="0.25">
      <c r="A14" s="45" t="s">
        <v>294</v>
      </c>
      <c r="B14" s="66" t="s">
        <v>0</v>
      </c>
      <c r="C14" s="46">
        <v>2015</v>
      </c>
      <c r="D14" s="1">
        <f t="shared" si="0"/>
        <v>601</v>
      </c>
      <c r="H14" s="280"/>
      <c r="L14" s="228">
        <f>66+39</f>
        <v>105</v>
      </c>
      <c r="N14" s="267">
        <f t="shared" si="1"/>
        <v>496</v>
      </c>
      <c r="P14" s="96">
        <f t="shared" si="2"/>
        <v>601</v>
      </c>
      <c r="Q14" s="97">
        <f t="shared" si="3"/>
        <v>601</v>
      </c>
      <c r="S14" s="201">
        <f>33+9</f>
        <v>42</v>
      </c>
      <c r="T14" s="192">
        <f>21</f>
        <v>21</v>
      </c>
      <c r="V14" s="168">
        <f>42+6+9</f>
        <v>57</v>
      </c>
      <c r="W14" s="50">
        <f>94+24+9</f>
        <v>127</v>
      </c>
      <c r="X14" s="50">
        <f>38+10+6</f>
        <v>54</v>
      </c>
      <c r="Y14" s="215">
        <f t="shared" si="4"/>
        <v>195</v>
      </c>
      <c r="Z14" s="120"/>
      <c r="AA14" s="96">
        <f t="shared" si="5"/>
        <v>496</v>
      </c>
      <c r="AB14" s="97">
        <f t="shared" si="6"/>
        <v>496</v>
      </c>
      <c r="AC14" s="205"/>
      <c r="AD14" s="205"/>
      <c r="AE14" s="50">
        <f>48</f>
        <v>48</v>
      </c>
      <c r="AF14" s="50">
        <f>62</f>
        <v>62</v>
      </c>
      <c r="AG14" s="50">
        <f>46+3</f>
        <v>49</v>
      </c>
      <c r="AH14" s="50">
        <f>AV14</f>
        <v>36</v>
      </c>
      <c r="AI14" s="120"/>
      <c r="AJ14" s="96">
        <f t="shared" si="7"/>
        <v>195</v>
      </c>
      <c r="AK14" s="97">
        <f t="shared" si="8"/>
        <v>195</v>
      </c>
      <c r="AL14" s="101"/>
      <c r="AM14" s="41">
        <f>0</f>
        <v>0</v>
      </c>
      <c r="AN14" s="41"/>
      <c r="AO14" s="41">
        <f>36</f>
        <v>36</v>
      </c>
      <c r="AP14" s="41">
        <f>42</f>
        <v>42</v>
      </c>
      <c r="AQ14" s="41">
        <f>3</f>
        <v>3</v>
      </c>
      <c r="AR14" s="94">
        <f>6+3</f>
        <v>9</v>
      </c>
      <c r="AS14" s="41">
        <v>12</v>
      </c>
      <c r="AT14" s="95">
        <f>2</f>
        <v>2</v>
      </c>
      <c r="AU14" s="96">
        <f>SUM(AM14:AS14)</f>
        <v>102</v>
      </c>
      <c r="AV14" s="97">
        <f>IF(C14=2015, AU14/3,AU14)+AT14</f>
        <v>36</v>
      </c>
    </row>
    <row r="15" spans="1:67" x14ac:dyDescent="0.25">
      <c r="A15" s="11" t="s">
        <v>560</v>
      </c>
      <c r="B15" s="71" t="s">
        <v>547</v>
      </c>
      <c r="C15" s="62">
        <v>2015</v>
      </c>
      <c r="D15" s="1">
        <f t="shared" si="0"/>
        <v>564</v>
      </c>
      <c r="H15" s="280"/>
      <c r="J15" s="246">
        <f>81+9</f>
        <v>90</v>
      </c>
      <c r="L15" s="228">
        <f>105+30</f>
        <v>135</v>
      </c>
      <c r="N15" s="267">
        <f t="shared" si="1"/>
        <v>339</v>
      </c>
      <c r="P15" s="96">
        <f t="shared" si="2"/>
        <v>564</v>
      </c>
      <c r="Q15" s="97">
        <f t="shared" si="3"/>
        <v>564</v>
      </c>
      <c r="S15" s="201">
        <f>58+6</f>
        <v>64</v>
      </c>
      <c r="T15" s="192">
        <f>50+14</f>
        <v>64</v>
      </c>
      <c r="U15" s="183">
        <f>34+16</f>
        <v>50</v>
      </c>
      <c r="W15" s="50">
        <f>96+20+6</f>
        <v>122</v>
      </c>
      <c r="X15" s="50">
        <f>33+3</f>
        <v>36</v>
      </c>
      <c r="Y15" s="215">
        <f t="shared" si="4"/>
        <v>3</v>
      </c>
      <c r="Z15" s="152"/>
      <c r="AA15" s="96">
        <f t="shared" si="5"/>
        <v>339</v>
      </c>
      <c r="AB15" s="97">
        <f t="shared" si="6"/>
        <v>339</v>
      </c>
      <c r="AC15" s="205"/>
      <c r="AD15" s="205"/>
      <c r="AG15" s="50">
        <f>0+3</f>
        <v>3</v>
      </c>
      <c r="AI15" s="120"/>
      <c r="AJ15" s="96">
        <f t="shared" si="7"/>
        <v>3</v>
      </c>
      <c r="AK15" s="97">
        <f t="shared" si="8"/>
        <v>3</v>
      </c>
      <c r="AL15" s="22"/>
      <c r="AM15" s="151"/>
      <c r="AN15" s="151"/>
      <c r="AO15" s="151"/>
      <c r="AP15" s="151"/>
      <c r="AQ15" s="151"/>
      <c r="AR15" s="151"/>
      <c r="AS15" s="13"/>
      <c r="AT15" s="95"/>
      <c r="AU15" s="96">
        <f>SUM(AM15:AS15)</f>
        <v>0</v>
      </c>
      <c r="AV15" s="97">
        <f>IF(C15=2015, AU15/3,AU15)+AT15</f>
        <v>0</v>
      </c>
    </row>
    <row r="16" spans="1:67" x14ac:dyDescent="0.25">
      <c r="A16" s="45" t="s">
        <v>32</v>
      </c>
      <c r="B16" s="66" t="s">
        <v>0</v>
      </c>
      <c r="C16" s="46">
        <v>2015</v>
      </c>
      <c r="D16" s="1">
        <f t="shared" si="0"/>
        <v>1387</v>
      </c>
      <c r="E16" s="156">
        <f>75+48</f>
        <v>123</v>
      </c>
      <c r="F16" s="156"/>
      <c r="H16" s="280"/>
      <c r="I16" s="156">
        <f>105+21</f>
        <v>126</v>
      </c>
      <c r="J16" s="156">
        <f>102+24</f>
        <v>126</v>
      </c>
      <c r="K16" s="156">
        <f>93+18</f>
        <v>111</v>
      </c>
      <c r="L16" s="156">
        <f>123+48</f>
        <v>171</v>
      </c>
      <c r="M16" s="156"/>
      <c r="N16" s="267">
        <f t="shared" si="1"/>
        <v>730</v>
      </c>
      <c r="P16" s="96">
        <f t="shared" si="2"/>
        <v>1264</v>
      </c>
      <c r="Q16" s="97">
        <f t="shared" si="3"/>
        <v>1264</v>
      </c>
      <c r="R16" s="156"/>
      <c r="S16" s="156">
        <f>114+12</f>
        <v>126</v>
      </c>
      <c r="T16" s="156">
        <f>69+12</f>
        <v>81</v>
      </c>
      <c r="U16" s="156">
        <f>21+12+6+3</f>
        <v>42</v>
      </c>
      <c r="V16" s="156">
        <f>63+12+6+9</f>
        <v>90</v>
      </c>
      <c r="W16" s="156">
        <f>57+3+15+9</f>
        <v>84</v>
      </c>
      <c r="X16" s="156">
        <f>58+14+6</f>
        <v>78</v>
      </c>
      <c r="Y16" s="215">
        <f t="shared" si="4"/>
        <v>226</v>
      </c>
      <c r="Z16" s="120"/>
      <c r="AA16" s="96">
        <f t="shared" si="5"/>
        <v>730</v>
      </c>
      <c r="AB16" s="97">
        <f t="shared" si="6"/>
        <v>730</v>
      </c>
      <c r="AC16" s="205"/>
      <c r="AD16" s="205"/>
      <c r="AE16" s="50">
        <f>52</f>
        <v>52</v>
      </c>
      <c r="AF16" s="50">
        <f>80</f>
        <v>80</v>
      </c>
      <c r="AG16" s="50">
        <f>48+3</f>
        <v>51</v>
      </c>
      <c r="AH16" s="50">
        <f>AV16</f>
        <v>43</v>
      </c>
      <c r="AI16" s="120"/>
      <c r="AJ16" s="96">
        <f t="shared" si="7"/>
        <v>226</v>
      </c>
      <c r="AK16" s="97">
        <f t="shared" si="8"/>
        <v>226</v>
      </c>
      <c r="AL16" s="101"/>
      <c r="AM16" s="41">
        <f>3</f>
        <v>3</v>
      </c>
      <c r="AN16" s="41"/>
      <c r="AO16" s="41">
        <f>39</f>
        <v>39</v>
      </c>
      <c r="AP16" s="41">
        <f>39</f>
        <v>39</v>
      </c>
      <c r="AQ16" s="41">
        <f>12+3</f>
        <v>15</v>
      </c>
      <c r="AR16" s="41">
        <f>12+6</f>
        <v>18</v>
      </c>
      <c r="AS16" s="41">
        <v>9</v>
      </c>
      <c r="AT16" s="95">
        <f>2</f>
        <v>2</v>
      </c>
      <c r="AU16" s="96">
        <f>SUM(AM16:AS16)</f>
        <v>123</v>
      </c>
      <c r="AV16" s="97">
        <f>IF(C16=2015, AU16/3,AU16)+AT16</f>
        <v>43</v>
      </c>
    </row>
    <row r="17" spans="1:67" x14ac:dyDescent="0.25">
      <c r="A17" s="11" t="s">
        <v>558</v>
      </c>
      <c r="B17" s="71" t="s">
        <v>547</v>
      </c>
      <c r="C17" s="62">
        <v>2014</v>
      </c>
      <c r="D17" s="1">
        <f t="shared" si="0"/>
        <v>409</v>
      </c>
      <c r="H17" s="280"/>
      <c r="J17" s="246">
        <f>45+9</f>
        <v>54</v>
      </c>
      <c r="L17" s="228">
        <f>0+30</f>
        <v>30</v>
      </c>
      <c r="N17" s="267">
        <f t="shared" si="1"/>
        <v>325</v>
      </c>
      <c r="P17" s="96">
        <f t="shared" si="2"/>
        <v>409</v>
      </c>
      <c r="Q17" s="97">
        <f t="shared" si="3"/>
        <v>409</v>
      </c>
      <c r="S17" s="201">
        <f>56+6</f>
        <v>62</v>
      </c>
      <c r="T17" s="192">
        <f>22+14</f>
        <v>36</v>
      </c>
      <c r="U17" s="183">
        <f>30+16</f>
        <v>46</v>
      </c>
      <c r="W17" s="50">
        <f>82+20+6</f>
        <v>108</v>
      </c>
      <c r="X17" s="50">
        <f>32+3</f>
        <v>35</v>
      </c>
      <c r="Y17" s="215">
        <f t="shared" si="4"/>
        <v>38</v>
      </c>
      <c r="Z17" s="152"/>
      <c r="AA17" s="96">
        <f t="shared" si="5"/>
        <v>325</v>
      </c>
      <c r="AB17" s="97">
        <f t="shared" si="6"/>
        <v>325</v>
      </c>
      <c r="AC17" s="205"/>
      <c r="AD17" s="205"/>
      <c r="AE17" s="50">
        <f>35</f>
        <v>35</v>
      </c>
      <c r="AG17" s="50">
        <f>0+3</f>
        <v>3</v>
      </c>
      <c r="AI17" s="120"/>
      <c r="AJ17" s="96">
        <f t="shared" si="7"/>
        <v>38</v>
      </c>
      <c r="AK17" s="97">
        <f t="shared" si="8"/>
        <v>38</v>
      </c>
      <c r="AL17" s="22"/>
      <c r="AM17" s="187"/>
      <c r="AN17" s="187"/>
      <c r="AO17" s="187"/>
      <c r="AP17" s="187"/>
      <c r="AQ17" s="187"/>
      <c r="AR17" s="187"/>
      <c r="AT17" s="95"/>
      <c r="AU17" s="96">
        <f>SUM(AM17:AS17)</f>
        <v>0</v>
      </c>
      <c r="AV17" s="97">
        <f>IF(C17=2015, AU17/3,AU17)+AT17</f>
        <v>0</v>
      </c>
    </row>
    <row r="18" spans="1:67" x14ac:dyDescent="0.25">
      <c r="A18" s="11" t="s">
        <v>878</v>
      </c>
      <c r="B18" s="11" t="s">
        <v>36</v>
      </c>
      <c r="C18" s="62">
        <v>2014</v>
      </c>
      <c r="D18" s="1">
        <f t="shared" si="0"/>
        <v>427</v>
      </c>
      <c r="E18" s="283">
        <f>30+18</f>
        <v>48</v>
      </c>
      <c r="F18" s="278">
        <f>12+10</f>
        <v>22</v>
      </c>
      <c r="I18" s="261">
        <f>74+30</f>
        <v>104</v>
      </c>
      <c r="J18" s="246">
        <f>62+12</f>
        <v>74</v>
      </c>
      <c r="K18" s="241">
        <f>57+12</f>
        <v>69</v>
      </c>
      <c r="L18" s="231">
        <f>39+11</f>
        <v>50</v>
      </c>
      <c r="M18" s="231"/>
      <c r="N18" s="267">
        <f t="shared" si="1"/>
        <v>60</v>
      </c>
      <c r="P18" s="96">
        <f t="shared" si="2"/>
        <v>357</v>
      </c>
      <c r="Q18" s="97">
        <f t="shared" si="3"/>
        <v>357</v>
      </c>
      <c r="R18" s="231"/>
      <c r="S18" s="231"/>
      <c r="T18" s="231"/>
      <c r="U18" s="231"/>
      <c r="V18" s="231">
        <f>50+10</f>
        <v>60</v>
      </c>
      <c r="W18" s="231"/>
      <c r="X18" s="231"/>
      <c r="Y18" s="215">
        <f t="shared" si="4"/>
        <v>0</v>
      </c>
      <c r="Z18" s="152"/>
      <c r="AA18" s="96">
        <f t="shared" si="5"/>
        <v>60</v>
      </c>
      <c r="AB18" s="97">
        <f t="shared" si="6"/>
        <v>60</v>
      </c>
      <c r="AE18" s="231"/>
      <c r="AF18" s="231"/>
      <c r="AG18" s="231"/>
      <c r="AH18" s="231"/>
      <c r="AI18" s="120"/>
      <c r="AJ18" s="96">
        <f t="shared" si="7"/>
        <v>0</v>
      </c>
      <c r="AK18" s="97">
        <f t="shared" si="8"/>
        <v>0</v>
      </c>
      <c r="AL18" s="22"/>
      <c r="AM18" s="231"/>
      <c r="AN18" s="231"/>
      <c r="AO18" s="231"/>
      <c r="AP18" s="231"/>
      <c r="AQ18" s="231"/>
      <c r="AR18" s="231"/>
      <c r="AS18" s="234"/>
      <c r="AT18" s="95"/>
      <c r="AU18" s="96"/>
      <c r="AV18" s="97"/>
    </row>
    <row r="19" spans="1:67" x14ac:dyDescent="0.25">
      <c r="A19" s="71" t="s">
        <v>567</v>
      </c>
      <c r="B19" s="71" t="s">
        <v>64</v>
      </c>
      <c r="C19" s="72">
        <v>2014</v>
      </c>
      <c r="D19" s="1">
        <f t="shared" si="0"/>
        <v>768</v>
      </c>
      <c r="E19" s="283">
        <f>63+27</f>
        <v>90</v>
      </c>
      <c r="H19" s="280"/>
      <c r="I19" s="261">
        <f>48+15</f>
        <v>63</v>
      </c>
      <c r="J19" s="246">
        <f>45+15</f>
        <v>60</v>
      </c>
      <c r="K19" s="241">
        <f>87+9</f>
        <v>96</v>
      </c>
      <c r="L19" s="228">
        <f>114+36</f>
        <v>150</v>
      </c>
      <c r="N19" s="267">
        <f t="shared" si="1"/>
        <v>309</v>
      </c>
      <c r="P19" s="96">
        <f t="shared" si="2"/>
        <v>678</v>
      </c>
      <c r="Q19" s="97">
        <f t="shared" si="3"/>
        <v>678</v>
      </c>
      <c r="T19" s="192">
        <f>39+3</f>
        <v>42</v>
      </c>
      <c r="V19" s="168">
        <f>30+9+9+6</f>
        <v>54</v>
      </c>
      <c r="W19" s="50">
        <f>0+18</f>
        <v>18</v>
      </c>
      <c r="X19" s="50">
        <f>30</f>
        <v>30</v>
      </c>
      <c r="Y19" s="215">
        <f t="shared" si="4"/>
        <v>165</v>
      </c>
      <c r="Z19" s="152"/>
      <c r="AA19" s="96">
        <f t="shared" si="5"/>
        <v>309</v>
      </c>
      <c r="AB19" s="97">
        <f t="shared" si="6"/>
        <v>309</v>
      </c>
      <c r="AC19" s="205"/>
      <c r="AD19" s="205"/>
      <c r="AE19" s="50">
        <f>0</f>
        <v>0</v>
      </c>
      <c r="AF19" s="50">
        <f>135</f>
        <v>135</v>
      </c>
      <c r="AG19" s="50">
        <f>24+6</f>
        <v>30</v>
      </c>
      <c r="AI19" s="120"/>
      <c r="AJ19" s="96">
        <f t="shared" si="7"/>
        <v>165</v>
      </c>
      <c r="AK19" s="97">
        <f t="shared" si="8"/>
        <v>165</v>
      </c>
      <c r="AL19" s="22"/>
      <c r="AM19" s="187"/>
      <c r="AN19" s="187"/>
      <c r="AO19" s="187"/>
      <c r="AP19" s="187"/>
      <c r="AQ19" s="187"/>
      <c r="AR19" s="187"/>
      <c r="AT19" s="95"/>
      <c r="AU19" s="96">
        <f>SUM(AM19:AS19)</f>
        <v>0</v>
      </c>
      <c r="AV19" s="97">
        <f>IF(C19=2015, AU19/3,AU19)+AT19</f>
        <v>0</v>
      </c>
    </row>
    <row r="20" spans="1:67" x14ac:dyDescent="0.25">
      <c r="A20" s="11" t="s">
        <v>261</v>
      </c>
      <c r="B20" s="60" t="s">
        <v>64</v>
      </c>
      <c r="C20" s="62">
        <v>2014</v>
      </c>
      <c r="D20" s="1">
        <f t="shared" si="0"/>
        <v>510</v>
      </c>
      <c r="E20" s="283">
        <f>48+27</f>
        <v>75</v>
      </c>
      <c r="H20" s="280"/>
      <c r="I20" s="261">
        <f>69+15</f>
        <v>84</v>
      </c>
      <c r="J20" s="246">
        <f>72+15</f>
        <v>87</v>
      </c>
      <c r="K20" s="241">
        <f>69+9</f>
        <v>78</v>
      </c>
      <c r="L20" s="228">
        <f>45+36</f>
        <v>81</v>
      </c>
      <c r="N20" s="267">
        <f t="shared" si="1"/>
        <v>105</v>
      </c>
      <c r="P20" s="96">
        <f t="shared" si="2"/>
        <v>435</v>
      </c>
      <c r="Q20" s="97">
        <f t="shared" si="3"/>
        <v>435</v>
      </c>
      <c r="T20" s="192">
        <f>15+3</f>
        <v>18</v>
      </c>
      <c r="V20" s="168">
        <f>27+9+6</f>
        <v>42</v>
      </c>
      <c r="W20" s="50">
        <f>0</f>
        <v>0</v>
      </c>
      <c r="Y20" s="215">
        <f t="shared" si="4"/>
        <v>45</v>
      </c>
      <c r="Z20" s="120"/>
      <c r="AA20" s="96">
        <f t="shared" si="5"/>
        <v>105</v>
      </c>
      <c r="AB20" s="97">
        <f t="shared" si="6"/>
        <v>105</v>
      </c>
      <c r="AC20" s="232"/>
      <c r="AD20" s="232"/>
      <c r="AE20" s="50">
        <f>0</f>
        <v>0</v>
      </c>
      <c r="AF20" s="50">
        <f>42</f>
        <v>42</v>
      </c>
      <c r="AH20" s="50">
        <f>AV20</f>
        <v>3</v>
      </c>
      <c r="AI20" s="120"/>
      <c r="AJ20" s="96">
        <f t="shared" si="7"/>
        <v>45</v>
      </c>
      <c r="AK20" s="97">
        <f t="shared" si="8"/>
        <v>45</v>
      </c>
      <c r="AL20" s="22"/>
      <c r="AM20" s="41"/>
      <c r="AN20" s="41"/>
      <c r="AO20" s="41">
        <f>3</f>
        <v>3</v>
      </c>
      <c r="AP20" s="41"/>
      <c r="AQ20" s="41"/>
      <c r="AR20" s="41"/>
      <c r="AS20" s="13"/>
      <c r="AT20" s="95"/>
      <c r="AU20" s="96">
        <f>SUM(AM20:AS20)</f>
        <v>3</v>
      </c>
      <c r="AV20" s="97">
        <f>IF(C20=2015, AU20/3,AU20)+AT20</f>
        <v>3</v>
      </c>
    </row>
    <row r="21" spans="1:67" s="17" customFormat="1" x14ac:dyDescent="0.25">
      <c r="A21" s="11" t="s">
        <v>756</v>
      </c>
      <c r="B21" s="60" t="s">
        <v>63</v>
      </c>
      <c r="C21" s="62">
        <v>2014</v>
      </c>
      <c r="D21" s="1">
        <f t="shared" si="0"/>
        <v>434</v>
      </c>
      <c r="E21" s="283">
        <f>0</f>
        <v>0</v>
      </c>
      <c r="F21" s="278"/>
      <c r="G21" s="120"/>
      <c r="H21" s="280"/>
      <c r="I21" s="261">
        <f>12</f>
        <v>12</v>
      </c>
      <c r="J21" s="246">
        <f>21</f>
        <v>21</v>
      </c>
      <c r="K21" s="241">
        <f>42</f>
        <v>42</v>
      </c>
      <c r="L21" s="228">
        <f>96</f>
        <v>96</v>
      </c>
      <c r="M21" s="215"/>
      <c r="N21" s="267">
        <f t="shared" si="1"/>
        <v>263</v>
      </c>
      <c r="O21" s="120"/>
      <c r="P21" s="96">
        <f t="shared" si="2"/>
        <v>434</v>
      </c>
      <c r="Q21" s="97">
        <f t="shared" si="3"/>
        <v>434</v>
      </c>
      <c r="R21" s="215"/>
      <c r="S21" s="215">
        <f>42+14</f>
        <v>56</v>
      </c>
      <c r="T21" s="215">
        <f>28+18</f>
        <v>46</v>
      </c>
      <c r="U21" s="215">
        <f>27+5</f>
        <v>32</v>
      </c>
      <c r="V21" s="215">
        <f>51+7</f>
        <v>58</v>
      </c>
      <c r="W21" s="215">
        <f>39+4+1</f>
        <v>44</v>
      </c>
      <c r="X21" s="215">
        <f>27</f>
        <v>27</v>
      </c>
      <c r="Y21" s="215">
        <f t="shared" si="4"/>
        <v>0</v>
      </c>
      <c r="Z21" s="152"/>
      <c r="AA21" s="96">
        <f t="shared" si="5"/>
        <v>263</v>
      </c>
      <c r="AB21" s="97">
        <f t="shared" si="6"/>
        <v>263</v>
      </c>
      <c r="AC21" s="205"/>
      <c r="AD21" s="205"/>
      <c r="AE21" s="201"/>
      <c r="AF21" s="201"/>
      <c r="AG21" s="201"/>
      <c r="AH21" s="201"/>
      <c r="AI21" s="120"/>
      <c r="AJ21" s="96">
        <f t="shared" si="7"/>
        <v>0</v>
      </c>
      <c r="AK21" s="97">
        <f t="shared" si="8"/>
        <v>0</v>
      </c>
      <c r="AL21" s="22"/>
      <c r="AM21" s="151"/>
      <c r="AN21" s="151"/>
      <c r="AO21" s="151"/>
      <c r="AP21" s="151"/>
      <c r="AQ21" s="151"/>
      <c r="AR21" s="151"/>
      <c r="AS21" s="13"/>
      <c r="AT21" s="95"/>
      <c r="AU21" s="96"/>
      <c r="AV21" s="97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spans="1:67" x14ac:dyDescent="0.25">
      <c r="A22" s="11" t="s">
        <v>405</v>
      </c>
      <c r="B22" s="60" t="s">
        <v>63</v>
      </c>
      <c r="C22" s="62">
        <v>2014</v>
      </c>
      <c r="D22" s="1">
        <f t="shared" si="0"/>
        <v>755</v>
      </c>
      <c r="E22" s="283">
        <f>66</f>
        <v>66</v>
      </c>
      <c r="H22" s="280"/>
      <c r="I22" s="261">
        <f>48</f>
        <v>48</v>
      </c>
      <c r="J22" s="246">
        <f>45</f>
        <v>45</v>
      </c>
      <c r="K22" s="241">
        <f>54+3</f>
        <v>57</v>
      </c>
      <c r="L22" s="228">
        <f>45</f>
        <v>45</v>
      </c>
      <c r="N22" s="267">
        <f t="shared" si="1"/>
        <v>494</v>
      </c>
      <c r="P22" s="96">
        <f t="shared" si="2"/>
        <v>689</v>
      </c>
      <c r="Q22" s="97">
        <f t="shared" si="3"/>
        <v>689</v>
      </c>
      <c r="S22" s="201">
        <f>54</f>
        <v>54</v>
      </c>
      <c r="T22" s="192">
        <f>48</f>
        <v>48</v>
      </c>
      <c r="U22" s="183">
        <f>36+3</f>
        <v>39</v>
      </c>
      <c r="V22" s="168">
        <f>42+3+3</f>
        <v>48</v>
      </c>
      <c r="W22" s="50">
        <f>100+12+6</f>
        <v>118</v>
      </c>
      <c r="X22" s="50">
        <f>54+6</f>
        <v>60</v>
      </c>
      <c r="Y22" s="215">
        <f t="shared" si="4"/>
        <v>127</v>
      </c>
      <c r="Z22" s="120"/>
      <c r="AA22" s="96">
        <f t="shared" si="5"/>
        <v>494</v>
      </c>
      <c r="AB22" s="97">
        <f t="shared" si="6"/>
        <v>494</v>
      </c>
      <c r="AC22" s="205"/>
      <c r="AD22" s="205"/>
      <c r="AE22" s="50">
        <f>37</f>
        <v>37</v>
      </c>
      <c r="AF22" s="50">
        <f>25</f>
        <v>25</v>
      </c>
      <c r="AG22" s="50">
        <f>32</f>
        <v>32</v>
      </c>
      <c r="AH22" s="50">
        <f>AV22</f>
        <v>33</v>
      </c>
      <c r="AI22" s="120"/>
      <c r="AJ22" s="96">
        <f t="shared" si="7"/>
        <v>127</v>
      </c>
      <c r="AK22" s="97">
        <f t="shared" si="8"/>
        <v>127</v>
      </c>
      <c r="AL22" s="22"/>
      <c r="AM22" s="41"/>
      <c r="AN22" s="41"/>
      <c r="AO22" s="41"/>
      <c r="AP22" s="41"/>
      <c r="AQ22" s="41">
        <f>10</f>
        <v>10</v>
      </c>
      <c r="AR22" s="41">
        <f>23</f>
        <v>23</v>
      </c>
      <c r="AS22" s="13"/>
      <c r="AT22" s="95"/>
      <c r="AU22" s="96">
        <f>SUM(AM22:AS22)</f>
        <v>33</v>
      </c>
      <c r="AV22" s="97">
        <f>IF(C22=2015, AU22/3,AU22)+AT22</f>
        <v>33</v>
      </c>
    </row>
    <row r="23" spans="1:67" x14ac:dyDescent="0.25">
      <c r="A23" s="71" t="s">
        <v>226</v>
      </c>
      <c r="B23" s="66" t="s">
        <v>0</v>
      </c>
      <c r="C23" s="72">
        <v>2016</v>
      </c>
      <c r="D23" s="1">
        <f t="shared" si="0"/>
        <v>552</v>
      </c>
      <c r="E23" s="154"/>
      <c r="F23" s="154"/>
      <c r="H23" s="280"/>
      <c r="I23" s="154"/>
      <c r="J23" s="154">
        <v>72</v>
      </c>
      <c r="K23" s="154"/>
      <c r="L23" s="154"/>
      <c r="M23" s="154"/>
      <c r="N23" s="267">
        <f t="shared" si="1"/>
        <v>480</v>
      </c>
      <c r="P23" s="96">
        <f t="shared" si="2"/>
        <v>552</v>
      </c>
      <c r="Q23" s="97">
        <f t="shared" si="3"/>
        <v>552</v>
      </c>
      <c r="R23" s="154"/>
      <c r="S23" s="154">
        <f>105+9</f>
        <v>114</v>
      </c>
      <c r="T23" s="154"/>
      <c r="U23" s="154">
        <f>21+3</f>
        <v>24</v>
      </c>
      <c r="V23" s="154">
        <f>52+6+9</f>
        <v>67</v>
      </c>
      <c r="W23" s="154">
        <f>102+24+9</f>
        <v>135</v>
      </c>
      <c r="X23" s="154">
        <f>56+10+6</f>
        <v>72</v>
      </c>
      <c r="Y23" s="215">
        <f t="shared" si="4"/>
        <v>68</v>
      </c>
      <c r="Z23" s="122"/>
      <c r="AA23" s="96">
        <f t="shared" si="5"/>
        <v>480</v>
      </c>
      <c r="AB23" s="97">
        <f t="shared" si="6"/>
        <v>480</v>
      </c>
      <c r="AC23" s="205"/>
      <c r="AD23" s="205"/>
      <c r="AE23" s="108">
        <f>39+6</f>
        <v>45</v>
      </c>
      <c r="AF23" s="108">
        <f>30+12</f>
        <v>42</v>
      </c>
      <c r="AG23" s="108">
        <f>27</f>
        <v>27</v>
      </c>
      <c r="AH23" s="108">
        <f>AV23</f>
        <v>90</v>
      </c>
      <c r="AI23" s="122"/>
      <c r="AJ23" s="96">
        <f t="shared" si="7"/>
        <v>204</v>
      </c>
      <c r="AK23" s="97">
        <f t="shared" si="8"/>
        <v>68</v>
      </c>
      <c r="AL23" s="101"/>
      <c r="AM23" s="41"/>
      <c r="AN23" s="41"/>
      <c r="AO23" s="41">
        <f>33</f>
        <v>33</v>
      </c>
      <c r="AP23" s="41"/>
      <c r="AQ23" s="41">
        <f>6</f>
        <v>6</v>
      </c>
      <c r="AR23" s="41">
        <f>3+3</f>
        <v>6</v>
      </c>
      <c r="AS23" s="13">
        <f>45</f>
        <v>45</v>
      </c>
      <c r="AU23" s="96">
        <f>SUM(AM23:AS23)</f>
        <v>90</v>
      </c>
      <c r="AV23" s="97">
        <f>IF(C23=2015, AU23/3,AU23)+AT23</f>
        <v>90</v>
      </c>
    </row>
    <row r="24" spans="1:67" x14ac:dyDescent="0.25">
      <c r="A24" s="45" t="s">
        <v>30</v>
      </c>
      <c r="B24" s="66" t="s">
        <v>0</v>
      </c>
      <c r="C24" s="46">
        <v>2015</v>
      </c>
      <c r="D24" s="1">
        <f t="shared" si="0"/>
        <v>1259</v>
      </c>
      <c r="E24" s="283">
        <f>69+48</f>
        <v>117</v>
      </c>
      <c r="H24" s="280"/>
      <c r="I24" s="261">
        <f>78+21</f>
        <v>99</v>
      </c>
      <c r="J24" s="246">
        <f>99+24</f>
        <v>123</v>
      </c>
      <c r="K24" s="241">
        <f>69+18</f>
        <v>87</v>
      </c>
      <c r="L24" s="228">
        <f>111+48</f>
        <v>159</v>
      </c>
      <c r="N24" s="267">
        <f t="shared" si="1"/>
        <v>674</v>
      </c>
      <c r="P24" s="96">
        <f t="shared" si="2"/>
        <v>1142</v>
      </c>
      <c r="Q24" s="97">
        <f t="shared" si="3"/>
        <v>1142</v>
      </c>
      <c r="S24" s="201">
        <f>111+12</f>
        <v>123</v>
      </c>
      <c r="T24" s="192">
        <f>42+12</f>
        <v>54</v>
      </c>
      <c r="U24" s="183">
        <f>3+12+6+3</f>
        <v>24</v>
      </c>
      <c r="V24" s="168">
        <f>54+12+6+9</f>
        <v>81</v>
      </c>
      <c r="W24" s="50">
        <f>104+3+15+9</f>
        <v>131</v>
      </c>
      <c r="X24" s="50">
        <f>52+14+3+6</f>
        <v>75</v>
      </c>
      <c r="Y24" s="215">
        <f t="shared" si="4"/>
        <v>180</v>
      </c>
      <c r="Z24" s="120"/>
      <c r="AA24" s="96">
        <f t="shared" si="5"/>
        <v>674</v>
      </c>
      <c r="AB24" s="97">
        <f t="shared" si="6"/>
        <v>674</v>
      </c>
      <c r="AC24" s="205"/>
      <c r="AD24" s="205"/>
      <c r="AE24" s="50">
        <f>42</f>
        <v>42</v>
      </c>
      <c r="AF24" s="50">
        <f>26</f>
        <v>26</v>
      </c>
      <c r="AG24" s="50">
        <f>54+3</f>
        <v>57</v>
      </c>
      <c r="AH24" s="50">
        <f>AV24</f>
        <v>55</v>
      </c>
      <c r="AI24" s="120"/>
      <c r="AJ24" s="96">
        <f t="shared" si="7"/>
        <v>180</v>
      </c>
      <c r="AK24" s="97">
        <f t="shared" si="8"/>
        <v>180</v>
      </c>
      <c r="AL24" s="101"/>
      <c r="AM24" s="41">
        <f>6</f>
        <v>6</v>
      </c>
      <c r="AN24" s="41"/>
      <c r="AO24" s="41">
        <f>42</f>
        <v>42</v>
      </c>
      <c r="AP24" s="41">
        <f>45</f>
        <v>45</v>
      </c>
      <c r="AQ24" s="41">
        <f>9+3</f>
        <v>12</v>
      </c>
      <c r="AR24" s="41">
        <f>9+6</f>
        <v>15</v>
      </c>
      <c r="AS24" s="41">
        <v>30</v>
      </c>
      <c r="AT24" s="95">
        <f>2+3</f>
        <v>5</v>
      </c>
      <c r="AU24" s="96">
        <f>SUM(AM24:AS24)</f>
        <v>150</v>
      </c>
      <c r="AV24" s="97">
        <f>IF(C24=2015, AU24/3,AU24)+AT24</f>
        <v>55</v>
      </c>
    </row>
    <row r="25" spans="1:67" x14ac:dyDescent="0.25">
      <c r="A25" s="71" t="s">
        <v>884</v>
      </c>
      <c r="B25" s="11" t="s">
        <v>36</v>
      </c>
      <c r="C25" s="72">
        <v>2014</v>
      </c>
      <c r="D25" s="1">
        <f t="shared" si="0"/>
        <v>356</v>
      </c>
      <c r="E25" s="283">
        <f>48+18</f>
        <v>66</v>
      </c>
      <c r="F25" s="278">
        <f>18+10</f>
        <v>28</v>
      </c>
      <c r="I25" s="261">
        <f>78+30</f>
        <v>108</v>
      </c>
      <c r="J25" s="246">
        <v>44</v>
      </c>
      <c r="K25" s="241">
        <f>52</f>
        <v>52</v>
      </c>
      <c r="L25" s="228">
        <f>35</f>
        <v>35</v>
      </c>
      <c r="N25" s="267">
        <f t="shared" si="1"/>
        <v>23</v>
      </c>
      <c r="P25" s="96">
        <f t="shared" si="2"/>
        <v>262</v>
      </c>
      <c r="Q25" s="97">
        <f t="shared" si="3"/>
        <v>262</v>
      </c>
      <c r="V25" s="168">
        <f>23</f>
        <v>23</v>
      </c>
      <c r="Y25" s="215">
        <f t="shared" si="4"/>
        <v>0</v>
      </c>
      <c r="Z25" s="152"/>
      <c r="AA25" s="96">
        <f t="shared" si="5"/>
        <v>23</v>
      </c>
      <c r="AB25" s="97">
        <f t="shared" si="6"/>
        <v>23</v>
      </c>
      <c r="AI25" s="120"/>
      <c r="AJ25" s="96">
        <f t="shared" si="7"/>
        <v>0</v>
      </c>
      <c r="AK25" s="97">
        <f t="shared" si="8"/>
        <v>0</v>
      </c>
      <c r="AL25" s="22"/>
      <c r="AM25" s="256"/>
      <c r="AN25" s="256"/>
      <c r="AO25" s="256"/>
      <c r="AP25" s="256"/>
      <c r="AQ25" s="256"/>
      <c r="AR25" s="256"/>
      <c r="AS25" s="254"/>
      <c r="AT25" s="95"/>
      <c r="AU25" s="96"/>
      <c r="AV25" s="97"/>
    </row>
    <row r="26" spans="1:67" s="17" customFormat="1" x14ac:dyDescent="0.25">
      <c r="A26" s="71" t="s">
        <v>889</v>
      </c>
      <c r="B26" s="71" t="s">
        <v>0</v>
      </c>
      <c r="C26" s="72">
        <v>2015</v>
      </c>
      <c r="D26" s="1">
        <f t="shared" si="0"/>
        <v>438</v>
      </c>
      <c r="E26" s="283">
        <f>48+42</f>
        <v>90</v>
      </c>
      <c r="F26" s="278"/>
      <c r="G26" s="120"/>
      <c r="H26" s="13"/>
      <c r="I26" s="261">
        <f>40+9</f>
        <v>49</v>
      </c>
      <c r="J26" s="246">
        <f>44+16</f>
        <v>60</v>
      </c>
      <c r="K26" s="241">
        <f>47+13</f>
        <v>60</v>
      </c>
      <c r="L26" s="228">
        <f>28+14</f>
        <v>42</v>
      </c>
      <c r="M26" s="215"/>
      <c r="N26" s="267">
        <f t="shared" si="1"/>
        <v>137</v>
      </c>
      <c r="O26" s="120"/>
      <c r="P26" s="96">
        <f t="shared" si="2"/>
        <v>348</v>
      </c>
      <c r="Q26" s="97">
        <f t="shared" si="3"/>
        <v>348</v>
      </c>
      <c r="R26" s="215"/>
      <c r="S26" s="201">
        <f>38+10</f>
        <v>48</v>
      </c>
      <c r="T26" s="201">
        <f>22+3</f>
        <v>25</v>
      </c>
      <c r="U26" s="201">
        <f>18+7</f>
        <v>25</v>
      </c>
      <c r="V26" s="201">
        <f>23+16</f>
        <v>39</v>
      </c>
      <c r="W26" s="201"/>
      <c r="X26" s="201"/>
      <c r="Y26" s="215">
        <f t="shared" si="4"/>
        <v>0</v>
      </c>
      <c r="Z26" s="152"/>
      <c r="AA26" s="96">
        <f t="shared" si="5"/>
        <v>137</v>
      </c>
      <c r="AB26" s="97">
        <f t="shared" si="6"/>
        <v>137</v>
      </c>
      <c r="AC26" s="13"/>
      <c r="AD26" s="13"/>
      <c r="AE26" s="201"/>
      <c r="AF26" s="201"/>
      <c r="AG26" s="201"/>
      <c r="AH26" s="201"/>
      <c r="AI26" s="120"/>
      <c r="AJ26" s="96">
        <f t="shared" si="7"/>
        <v>0</v>
      </c>
      <c r="AK26" s="97">
        <f t="shared" si="8"/>
        <v>0</v>
      </c>
      <c r="AL26" s="22"/>
      <c r="AM26" s="261"/>
      <c r="AN26" s="261"/>
      <c r="AO26" s="261"/>
      <c r="AP26" s="261"/>
      <c r="AQ26" s="261"/>
      <c r="AR26" s="261"/>
      <c r="AS26" s="259"/>
      <c r="AT26" s="95"/>
      <c r="AU26" s="96"/>
      <c r="AV26" s="97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spans="1:67" x14ac:dyDescent="0.25">
      <c r="A27" s="71" t="s">
        <v>422</v>
      </c>
      <c r="B27" s="11" t="s">
        <v>0</v>
      </c>
      <c r="C27" s="3">
        <v>2016</v>
      </c>
      <c r="D27" s="1">
        <f t="shared" si="0"/>
        <v>379</v>
      </c>
      <c r="E27" s="154">
        <f>0+24</f>
        <v>24</v>
      </c>
      <c r="F27" s="154"/>
      <c r="H27" s="280"/>
      <c r="I27" s="154">
        <f>70</f>
        <v>70</v>
      </c>
      <c r="J27" s="154">
        <f>18+14</f>
        <v>32</v>
      </c>
      <c r="K27" s="154">
        <f>49+4</f>
        <v>53</v>
      </c>
      <c r="L27" s="154">
        <f>18+16</f>
        <v>34</v>
      </c>
      <c r="M27" s="154"/>
      <c r="N27" s="267">
        <f t="shared" si="1"/>
        <v>166</v>
      </c>
      <c r="P27" s="96">
        <f t="shared" si="2"/>
        <v>355</v>
      </c>
      <c r="Q27" s="97">
        <f t="shared" si="3"/>
        <v>355</v>
      </c>
      <c r="R27" s="154"/>
      <c r="S27" s="154">
        <f>20+8</f>
        <v>28</v>
      </c>
      <c r="T27" s="154">
        <f>0+22</f>
        <v>22</v>
      </c>
      <c r="U27" s="154">
        <f>12+14+2</f>
        <v>28</v>
      </c>
      <c r="V27" s="154">
        <f>28+6</f>
        <v>34</v>
      </c>
      <c r="W27" s="154"/>
      <c r="X27" s="154">
        <f>28+8</f>
        <v>36</v>
      </c>
      <c r="Y27" s="215">
        <f t="shared" si="4"/>
        <v>18</v>
      </c>
      <c r="Z27" s="122"/>
      <c r="AA27" s="96">
        <f t="shared" si="5"/>
        <v>166</v>
      </c>
      <c r="AB27" s="97">
        <f t="shared" si="6"/>
        <v>166</v>
      </c>
      <c r="AC27" s="205"/>
      <c r="AD27" s="205"/>
      <c r="AE27" s="108">
        <f>0</f>
        <v>0</v>
      </c>
      <c r="AF27" s="108">
        <f>24</f>
        <v>24</v>
      </c>
      <c r="AG27" s="108">
        <f>9</f>
        <v>9</v>
      </c>
      <c r="AH27" s="108">
        <f>AV27</f>
        <v>21</v>
      </c>
      <c r="AI27" s="122"/>
      <c r="AJ27" s="96">
        <f t="shared" si="7"/>
        <v>54</v>
      </c>
      <c r="AK27" s="97">
        <f t="shared" si="8"/>
        <v>18</v>
      </c>
      <c r="AL27" s="101"/>
      <c r="AM27" s="41"/>
      <c r="AN27" s="41"/>
      <c r="AO27" s="41"/>
      <c r="AP27" s="41"/>
      <c r="AQ27" s="41">
        <f>12</f>
        <v>12</v>
      </c>
      <c r="AR27" s="41">
        <f>9</f>
        <v>9</v>
      </c>
      <c r="AS27" s="13"/>
      <c r="AU27" s="96">
        <f t="shared" ref="AU27:AU31" si="9">SUM(AM27:AS27)</f>
        <v>21</v>
      </c>
      <c r="AV27" s="97">
        <f t="shared" ref="AV27:AV31" si="10">IF(C27=2015, AU27/3,AU27)+AT27</f>
        <v>21</v>
      </c>
    </row>
    <row r="28" spans="1:67" x14ac:dyDescent="0.25">
      <c r="A28" s="71" t="s">
        <v>421</v>
      </c>
      <c r="B28" s="11" t="s">
        <v>63</v>
      </c>
      <c r="C28" s="3">
        <v>2015</v>
      </c>
      <c r="D28" s="1">
        <f t="shared" si="0"/>
        <v>657.66666666666674</v>
      </c>
      <c r="E28" s="283">
        <f>39</f>
        <v>39</v>
      </c>
      <c r="H28" s="280"/>
      <c r="J28" s="246">
        <f>96</f>
        <v>96</v>
      </c>
      <c r="K28" s="241">
        <f>54</f>
        <v>54</v>
      </c>
      <c r="L28" s="228">
        <f>66</f>
        <v>66</v>
      </c>
      <c r="N28" s="267">
        <f t="shared" si="1"/>
        <v>402.66666666666669</v>
      </c>
      <c r="P28" s="96">
        <f t="shared" si="2"/>
        <v>618.66666666666674</v>
      </c>
      <c r="Q28" s="97">
        <f t="shared" si="3"/>
        <v>618.66666666666674</v>
      </c>
      <c r="S28" s="201">
        <f>72</f>
        <v>72</v>
      </c>
      <c r="T28" s="192">
        <f>21</f>
        <v>21</v>
      </c>
      <c r="U28" s="183">
        <f>3+3</f>
        <v>6</v>
      </c>
      <c r="V28" s="168">
        <f>50+8+3+3</f>
        <v>64</v>
      </c>
      <c r="W28" s="50">
        <f>50+22+12+6</f>
        <v>90</v>
      </c>
      <c r="X28" s="50">
        <f>50+12</f>
        <v>62</v>
      </c>
      <c r="Y28" s="215">
        <f t="shared" si="4"/>
        <v>87.666666666666671</v>
      </c>
      <c r="Z28" s="120"/>
      <c r="AA28" s="96">
        <f t="shared" si="5"/>
        <v>402.66666666666669</v>
      </c>
      <c r="AB28" s="97">
        <f t="shared" si="6"/>
        <v>402.66666666666669</v>
      </c>
      <c r="AC28" s="205"/>
      <c r="AD28" s="205"/>
      <c r="AF28" s="50">
        <f>37</f>
        <v>37</v>
      </c>
      <c r="AG28" s="50">
        <f>42</f>
        <v>42</v>
      </c>
      <c r="AH28" s="50">
        <f>AV28</f>
        <v>8.6666666666666661</v>
      </c>
      <c r="AI28" s="120"/>
      <c r="AJ28" s="96">
        <f t="shared" si="7"/>
        <v>87.666666666666671</v>
      </c>
      <c r="AK28" s="97">
        <f t="shared" si="8"/>
        <v>87.666666666666671</v>
      </c>
      <c r="AL28" s="101"/>
      <c r="AM28" s="41"/>
      <c r="AN28" s="41"/>
      <c r="AO28" s="41"/>
      <c r="AP28" s="41"/>
      <c r="AQ28" s="41">
        <f>13</f>
        <v>13</v>
      </c>
      <c r="AR28" s="41">
        <f>13</f>
        <v>13</v>
      </c>
      <c r="AS28" s="13"/>
      <c r="AT28" s="95"/>
      <c r="AU28" s="96">
        <f t="shared" si="9"/>
        <v>26</v>
      </c>
      <c r="AV28" s="97">
        <f t="shared" si="10"/>
        <v>8.6666666666666661</v>
      </c>
    </row>
    <row r="29" spans="1:67" x14ac:dyDescent="0.25">
      <c r="A29" s="11" t="s">
        <v>112</v>
      </c>
      <c r="B29" s="60" t="s">
        <v>63</v>
      </c>
      <c r="C29" s="62">
        <v>2014</v>
      </c>
      <c r="D29" s="1">
        <f t="shared" si="0"/>
        <v>806</v>
      </c>
      <c r="E29" s="283">
        <f>18</f>
        <v>18</v>
      </c>
      <c r="H29" s="280"/>
      <c r="I29" s="261">
        <f>69</f>
        <v>69</v>
      </c>
      <c r="J29" s="246">
        <v>63</v>
      </c>
      <c r="K29" s="241">
        <f>33</f>
        <v>33</v>
      </c>
      <c r="L29" s="228">
        <f>66+15</f>
        <v>81</v>
      </c>
      <c r="N29" s="267">
        <f t="shared" si="1"/>
        <v>542</v>
      </c>
      <c r="P29" s="96">
        <f t="shared" si="2"/>
        <v>788</v>
      </c>
      <c r="Q29" s="97">
        <f t="shared" si="3"/>
        <v>788</v>
      </c>
      <c r="S29" s="201">
        <f>96</f>
        <v>96</v>
      </c>
      <c r="T29" s="192">
        <f>21</f>
        <v>21</v>
      </c>
      <c r="U29" s="183">
        <f>30</f>
        <v>30</v>
      </c>
      <c r="V29" s="168">
        <f>30+3</f>
        <v>33</v>
      </c>
      <c r="W29" s="50">
        <f>42+3+6</f>
        <v>51</v>
      </c>
      <c r="X29" s="50">
        <f>30</f>
        <v>30</v>
      </c>
      <c r="Y29" s="215">
        <f t="shared" si="4"/>
        <v>281</v>
      </c>
      <c r="Z29" s="120"/>
      <c r="AA29" s="96">
        <f t="shared" si="5"/>
        <v>542</v>
      </c>
      <c r="AB29" s="97">
        <f t="shared" si="6"/>
        <v>542</v>
      </c>
      <c r="AC29" s="205"/>
      <c r="AD29" s="205"/>
      <c r="AF29" s="50">
        <f>48</f>
        <v>48</v>
      </c>
      <c r="AG29" s="50">
        <f>48</f>
        <v>48</v>
      </c>
      <c r="AH29" s="50">
        <f>AV29</f>
        <v>185</v>
      </c>
      <c r="AI29" s="120"/>
      <c r="AJ29" s="96">
        <f t="shared" si="7"/>
        <v>281</v>
      </c>
      <c r="AK29" s="97">
        <f t="shared" si="8"/>
        <v>281</v>
      </c>
      <c r="AL29" s="22"/>
      <c r="AM29" s="41"/>
      <c r="AN29" s="41">
        <v>31</v>
      </c>
      <c r="AO29" s="41">
        <f>48</f>
        <v>48</v>
      </c>
      <c r="AP29" s="41">
        <f>18</f>
        <v>18</v>
      </c>
      <c r="AQ29" s="41">
        <f>15</f>
        <v>15</v>
      </c>
      <c r="AR29" s="41">
        <f>42</f>
        <v>42</v>
      </c>
      <c r="AS29" s="13">
        <f>31</f>
        <v>31</v>
      </c>
      <c r="AT29" s="95"/>
      <c r="AU29" s="96">
        <f t="shared" si="9"/>
        <v>185</v>
      </c>
      <c r="AV29" s="97">
        <f t="shared" si="10"/>
        <v>185</v>
      </c>
    </row>
    <row r="30" spans="1:67" x14ac:dyDescent="0.25">
      <c r="A30" s="11" t="s">
        <v>430</v>
      </c>
      <c r="B30" s="66" t="s">
        <v>63</v>
      </c>
      <c r="C30" s="46">
        <v>2016</v>
      </c>
      <c r="D30" s="1">
        <f t="shared" si="0"/>
        <v>334</v>
      </c>
      <c r="E30" s="154">
        <f>18</f>
        <v>18</v>
      </c>
      <c r="F30" s="154"/>
      <c r="H30" s="280"/>
      <c r="I30" s="154"/>
      <c r="J30" s="154">
        <f>18</f>
        <v>18</v>
      </c>
      <c r="K30" s="154">
        <f>41</f>
        <v>41</v>
      </c>
      <c r="L30" s="154"/>
      <c r="M30" s="154"/>
      <c r="N30" s="267">
        <f t="shared" si="1"/>
        <v>257</v>
      </c>
      <c r="P30" s="96">
        <f t="shared" si="2"/>
        <v>316</v>
      </c>
      <c r="Q30" s="97">
        <f t="shared" si="3"/>
        <v>316</v>
      </c>
      <c r="R30" s="154"/>
      <c r="S30" s="154">
        <f>20</f>
        <v>20</v>
      </c>
      <c r="T30" s="154">
        <f>50</f>
        <v>50</v>
      </c>
      <c r="U30" s="154">
        <f>0</f>
        <v>0</v>
      </c>
      <c r="V30" s="154">
        <f>46+7+4</f>
        <v>57</v>
      </c>
      <c r="W30" s="154">
        <f>86+4</f>
        <v>90</v>
      </c>
      <c r="X30" s="154">
        <f>16</f>
        <v>16</v>
      </c>
      <c r="Y30" s="215">
        <f t="shared" si="4"/>
        <v>24</v>
      </c>
      <c r="Z30" s="122"/>
      <c r="AA30" s="96">
        <f t="shared" si="5"/>
        <v>257</v>
      </c>
      <c r="AB30" s="97">
        <f t="shared" si="6"/>
        <v>257</v>
      </c>
      <c r="AC30" s="232"/>
      <c r="AD30" s="232"/>
      <c r="AE30" s="108">
        <f>33</f>
        <v>33</v>
      </c>
      <c r="AF30" s="108">
        <v>27</v>
      </c>
      <c r="AG30" s="108">
        <f>12</f>
        <v>12</v>
      </c>
      <c r="AH30" s="108">
        <f>AV30</f>
        <v>0</v>
      </c>
      <c r="AI30" s="122"/>
      <c r="AJ30" s="96">
        <f t="shared" si="7"/>
        <v>72</v>
      </c>
      <c r="AK30" s="97">
        <f t="shared" si="8"/>
        <v>24</v>
      </c>
      <c r="AL30" s="101"/>
      <c r="AM30" s="41"/>
      <c r="AN30" s="41"/>
      <c r="AO30" s="41"/>
      <c r="AP30" s="41"/>
      <c r="AQ30" s="41">
        <f>0</f>
        <v>0</v>
      </c>
      <c r="AR30" s="41">
        <f>0</f>
        <v>0</v>
      </c>
      <c r="AS30" s="13"/>
      <c r="AU30" s="96">
        <f t="shared" si="9"/>
        <v>0</v>
      </c>
      <c r="AV30" s="97">
        <f t="shared" si="10"/>
        <v>0</v>
      </c>
    </row>
    <row r="31" spans="1:67" s="17" customFormat="1" x14ac:dyDescent="0.25">
      <c r="A31" s="304" t="s">
        <v>37</v>
      </c>
      <c r="B31" s="305"/>
      <c r="C31" s="306"/>
      <c r="D31" s="1"/>
      <c r="E31" s="283"/>
      <c r="F31" s="278"/>
      <c r="G31" s="120"/>
      <c r="H31" s="280"/>
      <c r="I31" s="261"/>
      <c r="J31" s="246"/>
      <c r="K31" s="241"/>
      <c r="L31" s="228"/>
      <c r="M31" s="215"/>
      <c r="N31" s="267">
        <f t="shared" si="1"/>
        <v>0</v>
      </c>
      <c r="O31" s="120"/>
      <c r="P31" s="96">
        <f t="shared" si="2"/>
        <v>0</v>
      </c>
      <c r="Q31" s="97">
        <f t="shared" si="3"/>
        <v>0</v>
      </c>
      <c r="R31" s="215"/>
      <c r="S31" s="201"/>
      <c r="T31" s="192"/>
      <c r="U31" s="183"/>
      <c r="V31" s="168"/>
      <c r="W31" s="50"/>
      <c r="X31" s="50"/>
      <c r="Y31" s="215">
        <f t="shared" si="4"/>
        <v>0</v>
      </c>
      <c r="Z31" s="50"/>
      <c r="AA31" s="96">
        <f t="shared" si="5"/>
        <v>0</v>
      </c>
      <c r="AB31" s="97">
        <f t="shared" si="6"/>
        <v>0</v>
      </c>
      <c r="AC31" s="205"/>
      <c r="AD31" s="205"/>
      <c r="AE31" s="50"/>
      <c r="AF31" s="50"/>
      <c r="AG31" s="50"/>
      <c r="AH31" s="50"/>
      <c r="AI31" s="50"/>
      <c r="AJ31" s="96">
        <f t="shared" si="7"/>
        <v>0</v>
      </c>
      <c r="AK31" s="97">
        <f t="shared" si="8"/>
        <v>0</v>
      </c>
      <c r="AL31" s="22"/>
      <c r="AM31" s="50"/>
      <c r="AN31" s="50"/>
      <c r="AO31" s="50"/>
      <c r="AP31" s="50"/>
      <c r="AQ31" s="50"/>
      <c r="AR31" s="50"/>
      <c r="AS31" s="22"/>
      <c r="AT31" s="68"/>
      <c r="AU31" s="96">
        <f t="shared" si="9"/>
        <v>0</v>
      </c>
      <c r="AV31" s="97">
        <f t="shared" si="10"/>
        <v>0</v>
      </c>
    </row>
    <row r="32" spans="1:67" x14ac:dyDescent="0.25">
      <c r="A32" s="11" t="s">
        <v>617</v>
      </c>
      <c r="B32" s="11" t="s">
        <v>36</v>
      </c>
      <c r="C32" s="62">
        <v>2015</v>
      </c>
      <c r="D32" s="1">
        <f t="shared" ref="D32:D94" si="11">Q32+F32+E32</f>
        <v>28</v>
      </c>
      <c r="H32" s="280"/>
      <c r="N32" s="267">
        <f t="shared" ref="N32:N94" si="12">AB32</f>
        <v>28</v>
      </c>
      <c r="P32" s="96">
        <f t="shared" ref="P32:P62" si="13">I32+J32+K32+L32+M32+N32</f>
        <v>28</v>
      </c>
      <c r="Q32" s="97">
        <f t="shared" ref="Q32:Q94" si="14">IF(C32=2013, P32/3,P32)+O32</f>
        <v>28</v>
      </c>
      <c r="Y32" s="215">
        <f t="shared" ref="Y32:Y43" si="15">AK32</f>
        <v>28</v>
      </c>
      <c r="Z32" s="152"/>
      <c r="AA32" s="96">
        <f t="shared" ref="AA32:AA43" si="16">AM32+S32+T32+U32+V32+W32+X32+Y32</f>
        <v>28</v>
      </c>
      <c r="AB32" s="97">
        <f t="shared" ref="AB32:AB43" si="17">IF(C32=2017, AA32/3,AA32)+Z32</f>
        <v>28</v>
      </c>
      <c r="AC32" s="205"/>
      <c r="AD32" s="205"/>
      <c r="AE32" s="50">
        <f>28</f>
        <v>28</v>
      </c>
      <c r="AF32" s="50">
        <f>0</f>
        <v>0</v>
      </c>
      <c r="AI32" s="120"/>
      <c r="AJ32" s="96">
        <f t="shared" ref="AJ32:AJ43" si="18">SUM(AE32:AH32)</f>
        <v>28</v>
      </c>
      <c r="AK32" s="97">
        <f t="shared" ref="AK32:AK43" si="19">IF(C32=2016, AJ32/3,AJ32)+AI32</f>
        <v>28</v>
      </c>
      <c r="AL32" s="22"/>
      <c r="AM32" s="172"/>
      <c r="AN32" s="172"/>
      <c r="AO32" s="172"/>
      <c r="AP32" s="172"/>
      <c r="AQ32" s="172"/>
      <c r="AR32" s="172"/>
      <c r="AS32" s="22"/>
      <c r="AT32" s="95"/>
      <c r="AU32" s="96">
        <f>SUM(AM32:AS32)</f>
        <v>0</v>
      </c>
      <c r="AV32" s="97">
        <f>IF(C32=2015, AU32/3,AU32)+AT32</f>
        <v>0</v>
      </c>
    </row>
    <row r="33" spans="1:67" x14ac:dyDescent="0.25">
      <c r="A33" s="11" t="s">
        <v>1005</v>
      </c>
      <c r="B33" s="60" t="s">
        <v>86</v>
      </c>
      <c r="C33" s="62">
        <v>2014</v>
      </c>
      <c r="D33" s="1">
        <f t="shared" si="11"/>
        <v>2</v>
      </c>
      <c r="H33" s="280"/>
      <c r="N33" s="267">
        <f t="shared" si="12"/>
        <v>2</v>
      </c>
      <c r="P33" s="96">
        <f t="shared" si="13"/>
        <v>2</v>
      </c>
      <c r="Q33" s="97">
        <f t="shared" si="14"/>
        <v>2</v>
      </c>
      <c r="S33" s="201">
        <f>0+2</f>
        <v>2</v>
      </c>
      <c r="Y33" s="215">
        <f t="shared" si="15"/>
        <v>0</v>
      </c>
      <c r="Z33" s="152"/>
      <c r="AA33" s="96">
        <f t="shared" si="16"/>
        <v>2</v>
      </c>
      <c r="AB33" s="97">
        <f t="shared" si="17"/>
        <v>2</v>
      </c>
      <c r="AC33" s="205"/>
      <c r="AD33" s="205"/>
      <c r="AI33" s="120"/>
      <c r="AJ33" s="96">
        <f t="shared" si="18"/>
        <v>0</v>
      </c>
      <c r="AK33" s="97">
        <f t="shared" si="19"/>
        <v>0</v>
      </c>
      <c r="AL33" s="22"/>
      <c r="AM33" s="187"/>
      <c r="AN33" s="187"/>
      <c r="AO33" s="187"/>
      <c r="AP33" s="187"/>
      <c r="AQ33" s="187"/>
      <c r="AR33" s="187"/>
      <c r="AS33" s="22"/>
      <c r="AT33" s="68"/>
      <c r="AU33" s="96"/>
      <c r="AV33" s="9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</row>
    <row r="34" spans="1:67" x14ac:dyDescent="0.25">
      <c r="A34" s="11" t="s">
        <v>718</v>
      </c>
      <c r="B34" s="60" t="s">
        <v>63</v>
      </c>
      <c r="C34" s="62">
        <v>2014</v>
      </c>
      <c r="D34" s="1">
        <f t="shared" si="11"/>
        <v>177</v>
      </c>
      <c r="E34" s="283">
        <f>0</f>
        <v>0</v>
      </c>
      <c r="H34" s="280"/>
      <c r="I34" s="261">
        <f>16</f>
        <v>16</v>
      </c>
      <c r="J34" s="246">
        <f>18</f>
        <v>18</v>
      </c>
      <c r="K34" s="241">
        <f>0</f>
        <v>0</v>
      </c>
      <c r="N34" s="267">
        <f t="shared" si="12"/>
        <v>143</v>
      </c>
      <c r="P34" s="96">
        <f t="shared" si="13"/>
        <v>177</v>
      </c>
      <c r="Q34" s="97">
        <f t="shared" si="14"/>
        <v>177</v>
      </c>
      <c r="S34" s="201">
        <f>44</f>
        <v>44</v>
      </c>
      <c r="T34" s="192">
        <f>50</f>
        <v>50</v>
      </c>
      <c r="U34" s="183">
        <f>6+5</f>
        <v>11</v>
      </c>
      <c r="V34" s="168">
        <f>0+7+4</f>
        <v>11</v>
      </c>
      <c r="W34" s="50">
        <f>23+4</f>
        <v>27</v>
      </c>
      <c r="X34" s="50">
        <f>0</f>
        <v>0</v>
      </c>
      <c r="Y34" s="215">
        <f t="shared" si="15"/>
        <v>0</v>
      </c>
      <c r="Z34" s="152"/>
      <c r="AA34" s="96">
        <f t="shared" si="16"/>
        <v>143</v>
      </c>
      <c r="AB34" s="97">
        <f t="shared" si="17"/>
        <v>143</v>
      </c>
      <c r="AC34" s="263"/>
      <c r="AD34" s="263"/>
      <c r="AI34" s="120"/>
      <c r="AJ34" s="96">
        <f t="shared" si="18"/>
        <v>0</v>
      </c>
      <c r="AK34" s="97">
        <f t="shared" si="19"/>
        <v>0</v>
      </c>
      <c r="AL34" s="22"/>
      <c r="AM34" s="261"/>
      <c r="AN34" s="261"/>
      <c r="AO34" s="261"/>
      <c r="AP34" s="261"/>
      <c r="AQ34" s="261"/>
      <c r="AR34" s="261"/>
      <c r="AS34" s="22"/>
      <c r="AT34" s="68"/>
      <c r="AU34" s="96">
        <f>SUM(AM34:AS34)</f>
        <v>0</v>
      </c>
      <c r="AV34" s="97">
        <f>IF(C34=2015, AU34/3,AU34)+AT34</f>
        <v>0</v>
      </c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</row>
    <row r="35" spans="1:67" x14ac:dyDescent="0.25">
      <c r="A35" s="11" t="s">
        <v>43</v>
      </c>
      <c r="B35" s="60" t="s">
        <v>63</v>
      </c>
      <c r="C35" s="62">
        <v>2014</v>
      </c>
      <c r="D35" s="1">
        <f t="shared" si="11"/>
        <v>137</v>
      </c>
      <c r="N35" s="267">
        <f t="shared" si="12"/>
        <v>137</v>
      </c>
      <c r="P35" s="96">
        <f t="shared" si="13"/>
        <v>137</v>
      </c>
      <c r="Q35" s="97">
        <f t="shared" si="14"/>
        <v>137</v>
      </c>
      <c r="Y35" s="215">
        <f t="shared" si="15"/>
        <v>133</v>
      </c>
      <c r="Z35" s="120"/>
      <c r="AA35" s="96">
        <f t="shared" si="16"/>
        <v>137</v>
      </c>
      <c r="AB35" s="97">
        <f t="shared" si="17"/>
        <v>137</v>
      </c>
      <c r="AE35" s="50">
        <f>24</f>
        <v>24</v>
      </c>
      <c r="AG35" s="50">
        <f>16</f>
        <v>16</v>
      </c>
      <c r="AH35" s="50">
        <f>AV35</f>
        <v>93</v>
      </c>
      <c r="AI35" s="120"/>
      <c r="AJ35" s="96">
        <f t="shared" si="18"/>
        <v>133</v>
      </c>
      <c r="AK35" s="97">
        <f t="shared" si="19"/>
        <v>133</v>
      </c>
      <c r="AL35" s="22"/>
      <c r="AM35" s="41">
        <f>4</f>
        <v>4</v>
      </c>
      <c r="AN35" s="41">
        <v>27</v>
      </c>
      <c r="AO35" s="41">
        <f>6</f>
        <v>6</v>
      </c>
      <c r="AP35" s="41">
        <f>36</f>
        <v>36</v>
      </c>
      <c r="AQ35" s="41"/>
      <c r="AR35" s="41">
        <f>20</f>
        <v>20</v>
      </c>
      <c r="AS35" s="13"/>
      <c r="AT35" s="95"/>
      <c r="AU35" s="96">
        <f>SUM(AM35:AS35)</f>
        <v>93</v>
      </c>
      <c r="AV35" s="97">
        <f>IF(C35=2015, AU35/3,AU35)+AT35</f>
        <v>93</v>
      </c>
    </row>
    <row r="36" spans="1:67" s="17" customFormat="1" x14ac:dyDescent="0.25">
      <c r="A36" s="11" t="s">
        <v>1060</v>
      </c>
      <c r="B36" s="60" t="s">
        <v>7</v>
      </c>
      <c r="C36" s="62"/>
      <c r="D36" s="1">
        <f t="shared" si="11"/>
        <v>54</v>
      </c>
      <c r="E36" s="283"/>
      <c r="F36" s="278"/>
      <c r="G36" s="120"/>
      <c r="H36" s="280"/>
      <c r="I36" s="261"/>
      <c r="J36" s="246">
        <f>9+13</f>
        <v>22</v>
      </c>
      <c r="K36" s="241">
        <f>22+2</f>
        <v>24</v>
      </c>
      <c r="L36" s="228"/>
      <c r="M36" s="215"/>
      <c r="N36" s="267">
        <f t="shared" si="12"/>
        <v>8</v>
      </c>
      <c r="O36" s="120"/>
      <c r="P36" s="96">
        <f t="shared" si="13"/>
        <v>54</v>
      </c>
      <c r="Q36" s="97">
        <f t="shared" si="14"/>
        <v>54</v>
      </c>
      <c r="R36" s="215"/>
      <c r="S36" s="201">
        <f>8</f>
        <v>8</v>
      </c>
      <c r="T36" s="192"/>
      <c r="U36" s="183"/>
      <c r="V36" s="168"/>
      <c r="W36" s="50"/>
      <c r="X36" s="50"/>
      <c r="Y36" s="215">
        <f t="shared" si="15"/>
        <v>0</v>
      </c>
      <c r="Z36" s="152"/>
      <c r="AA36" s="96">
        <f t="shared" si="16"/>
        <v>8</v>
      </c>
      <c r="AB36" s="97">
        <f t="shared" si="17"/>
        <v>8</v>
      </c>
      <c r="AC36" s="205"/>
      <c r="AD36" s="205"/>
      <c r="AE36" s="50"/>
      <c r="AF36" s="50"/>
      <c r="AG36" s="50"/>
      <c r="AH36" s="50"/>
      <c r="AI36" s="120"/>
      <c r="AJ36" s="96">
        <f t="shared" si="18"/>
        <v>0</v>
      </c>
      <c r="AK36" s="97">
        <f t="shared" si="19"/>
        <v>0</v>
      </c>
      <c r="AL36" s="22"/>
      <c r="AM36" s="50"/>
      <c r="AN36" s="50"/>
      <c r="AO36" s="50"/>
      <c r="AP36" s="50"/>
      <c r="AQ36" s="50"/>
      <c r="AR36" s="50"/>
      <c r="AS36" s="22"/>
      <c r="AT36" s="68"/>
      <c r="AU36" s="96"/>
      <c r="AV36" s="97"/>
    </row>
    <row r="37" spans="1:67" x14ac:dyDescent="0.25">
      <c r="A37" s="45" t="s">
        <v>295</v>
      </c>
      <c r="B37" s="66" t="s">
        <v>296</v>
      </c>
      <c r="C37" s="46">
        <v>2015</v>
      </c>
      <c r="D37" s="1">
        <f t="shared" si="11"/>
        <v>8.6666666666666661</v>
      </c>
      <c r="H37" s="280"/>
      <c r="N37" s="267">
        <f t="shared" si="12"/>
        <v>8.6666666666666661</v>
      </c>
      <c r="P37" s="96">
        <f t="shared" si="13"/>
        <v>8.6666666666666661</v>
      </c>
      <c r="Q37" s="97">
        <f t="shared" si="14"/>
        <v>8.6666666666666661</v>
      </c>
      <c r="Y37" s="215">
        <f t="shared" si="15"/>
        <v>8.6666666666666661</v>
      </c>
      <c r="Z37" s="120"/>
      <c r="AA37" s="96">
        <f t="shared" si="16"/>
        <v>8.6666666666666661</v>
      </c>
      <c r="AB37" s="97">
        <f t="shared" si="17"/>
        <v>8.6666666666666661</v>
      </c>
      <c r="AC37" s="205"/>
      <c r="AD37" s="205"/>
      <c r="AH37" s="50">
        <f>AV37</f>
        <v>8.6666666666666661</v>
      </c>
      <c r="AI37" s="120"/>
      <c r="AJ37" s="96">
        <f t="shared" si="18"/>
        <v>8.6666666666666661</v>
      </c>
      <c r="AK37" s="97">
        <f t="shared" si="19"/>
        <v>8.6666666666666661</v>
      </c>
      <c r="AL37" s="101"/>
      <c r="AM37" s="41"/>
      <c r="AN37" s="41"/>
      <c r="AO37" s="41"/>
      <c r="AP37" s="41">
        <f>24+2</f>
        <v>26</v>
      </c>
      <c r="AQ37" s="41"/>
      <c r="AR37" s="41"/>
      <c r="AS37" s="260"/>
      <c r="AT37" s="95"/>
      <c r="AU37" s="96">
        <f>SUM(AM37:AS37)</f>
        <v>26</v>
      </c>
      <c r="AV37" s="97">
        <f>IF(C37=2015, AU37/3,AU37)+AT37</f>
        <v>8.6666666666666661</v>
      </c>
    </row>
    <row r="38" spans="1:67" x14ac:dyDescent="0.25">
      <c r="A38" s="11" t="s">
        <v>473</v>
      </c>
      <c r="B38" s="60" t="s">
        <v>299</v>
      </c>
      <c r="C38" s="62">
        <v>2014</v>
      </c>
      <c r="D38" s="1">
        <f t="shared" si="11"/>
        <v>23</v>
      </c>
      <c r="H38" s="280"/>
      <c r="N38" s="267">
        <f t="shared" si="12"/>
        <v>23</v>
      </c>
      <c r="P38" s="96">
        <f t="shared" si="13"/>
        <v>23</v>
      </c>
      <c r="Q38" s="97">
        <f t="shared" si="14"/>
        <v>23</v>
      </c>
      <c r="Y38" s="215">
        <f t="shared" si="15"/>
        <v>23</v>
      </c>
      <c r="Z38" s="120"/>
      <c r="AA38" s="96">
        <f t="shared" si="16"/>
        <v>23</v>
      </c>
      <c r="AB38" s="97">
        <f t="shared" si="17"/>
        <v>23</v>
      </c>
      <c r="AC38" s="205"/>
      <c r="AD38" s="205"/>
      <c r="AH38" s="50">
        <f>AV38</f>
        <v>23</v>
      </c>
      <c r="AI38" s="120"/>
      <c r="AJ38" s="96">
        <f t="shared" si="18"/>
        <v>23</v>
      </c>
      <c r="AK38" s="97">
        <f t="shared" si="19"/>
        <v>23</v>
      </c>
      <c r="AL38" s="22"/>
      <c r="AM38" s="256"/>
      <c r="AN38" s="256"/>
      <c r="AO38" s="256"/>
      <c r="AP38" s="256"/>
      <c r="AQ38" s="256"/>
      <c r="AR38" s="256">
        <f>23</f>
        <v>23</v>
      </c>
      <c r="AS38" s="22"/>
      <c r="AT38" s="95"/>
      <c r="AU38" s="96">
        <f>SUM(AM38:AS38)</f>
        <v>23</v>
      </c>
      <c r="AV38" s="97">
        <f>IF(C38=2015, AU38/3,AU38)+AT38</f>
        <v>23</v>
      </c>
    </row>
    <row r="39" spans="1:67" x14ac:dyDescent="0.25">
      <c r="A39" s="11" t="s">
        <v>607</v>
      </c>
      <c r="B39" s="60" t="s">
        <v>23</v>
      </c>
      <c r="C39" s="62"/>
      <c r="D39" s="1">
        <f t="shared" si="11"/>
        <v>25</v>
      </c>
      <c r="H39" s="280"/>
      <c r="N39" s="267">
        <f t="shared" si="12"/>
        <v>25</v>
      </c>
      <c r="P39" s="96">
        <f t="shared" si="13"/>
        <v>25</v>
      </c>
      <c r="Q39" s="97">
        <f t="shared" si="14"/>
        <v>25</v>
      </c>
      <c r="Y39" s="215">
        <f t="shared" si="15"/>
        <v>25</v>
      </c>
      <c r="Z39" s="152"/>
      <c r="AA39" s="96">
        <f t="shared" si="16"/>
        <v>25</v>
      </c>
      <c r="AB39" s="97">
        <f t="shared" si="17"/>
        <v>25</v>
      </c>
      <c r="AC39" s="205"/>
      <c r="AD39" s="205"/>
      <c r="AF39" s="50">
        <f>25</f>
        <v>25</v>
      </c>
      <c r="AI39" s="120"/>
      <c r="AJ39" s="96">
        <f t="shared" si="18"/>
        <v>25</v>
      </c>
      <c r="AK39" s="97">
        <f t="shared" si="19"/>
        <v>25</v>
      </c>
      <c r="AL39" s="22"/>
      <c r="AM39" s="261"/>
      <c r="AN39" s="261"/>
      <c r="AO39" s="261"/>
      <c r="AP39" s="261"/>
      <c r="AQ39" s="261"/>
      <c r="AR39" s="261"/>
      <c r="AS39" s="22"/>
      <c r="AT39" s="95"/>
      <c r="AU39" s="96">
        <f>SUM(AM39:AS39)</f>
        <v>0</v>
      </c>
      <c r="AV39" s="97">
        <f>IF(C39=2015, AU39/3,AU39)+AT39</f>
        <v>0</v>
      </c>
    </row>
    <row r="40" spans="1:67" x14ac:dyDescent="0.25">
      <c r="A40" s="11" t="s">
        <v>962</v>
      </c>
      <c r="B40" s="60" t="s">
        <v>64</v>
      </c>
      <c r="C40" s="62">
        <v>2015</v>
      </c>
      <c r="D40" s="1">
        <f t="shared" si="11"/>
        <v>175</v>
      </c>
      <c r="E40" s="283">
        <f>0</f>
        <v>0</v>
      </c>
      <c r="H40" s="280"/>
      <c r="I40" s="261">
        <f>40+26</f>
        <v>66</v>
      </c>
      <c r="J40" s="256">
        <f>9+2</f>
        <v>11</v>
      </c>
      <c r="K40" s="256">
        <f>32+9</f>
        <v>41</v>
      </c>
      <c r="L40" s="256">
        <f>35</f>
        <v>35</v>
      </c>
      <c r="M40" s="256"/>
      <c r="N40" s="267">
        <f t="shared" si="12"/>
        <v>22</v>
      </c>
      <c r="P40" s="96">
        <f t="shared" si="13"/>
        <v>175</v>
      </c>
      <c r="Q40" s="97">
        <f t="shared" si="14"/>
        <v>175</v>
      </c>
      <c r="R40" s="256"/>
      <c r="S40" s="256"/>
      <c r="T40" s="256">
        <f>22</f>
        <v>22</v>
      </c>
      <c r="U40" s="256"/>
      <c r="V40" s="256"/>
      <c r="W40" s="256"/>
      <c r="X40" s="256"/>
      <c r="Y40" s="215">
        <f t="shared" si="15"/>
        <v>0</v>
      </c>
      <c r="Z40" s="152"/>
      <c r="AA40" s="96">
        <f t="shared" si="16"/>
        <v>22</v>
      </c>
      <c r="AB40" s="97">
        <f t="shared" si="17"/>
        <v>22</v>
      </c>
      <c r="AC40" s="257"/>
      <c r="AD40" s="257"/>
      <c r="AE40" s="256"/>
      <c r="AF40" s="256"/>
      <c r="AG40" s="256"/>
      <c r="AH40" s="256"/>
      <c r="AI40" s="120"/>
      <c r="AJ40" s="96">
        <f t="shared" si="18"/>
        <v>0</v>
      </c>
      <c r="AK40" s="97">
        <f t="shared" si="19"/>
        <v>0</v>
      </c>
      <c r="AL40" s="22"/>
      <c r="AM40" s="261"/>
      <c r="AN40" s="261"/>
      <c r="AO40" s="261"/>
      <c r="AP40" s="261"/>
      <c r="AQ40" s="261"/>
      <c r="AR40" s="261"/>
      <c r="AS40" s="22"/>
      <c r="AT40" s="68"/>
      <c r="AU40" s="96"/>
      <c r="AV40" s="9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</row>
    <row r="41" spans="1:67" x14ac:dyDescent="0.25">
      <c r="A41" s="11" t="s">
        <v>606</v>
      </c>
      <c r="B41" s="60" t="s">
        <v>231</v>
      </c>
      <c r="C41" s="62"/>
      <c r="D41" s="1">
        <f t="shared" si="11"/>
        <v>25</v>
      </c>
      <c r="H41" s="280"/>
      <c r="N41" s="267">
        <f t="shared" si="12"/>
        <v>25</v>
      </c>
      <c r="P41" s="96">
        <f t="shared" si="13"/>
        <v>25</v>
      </c>
      <c r="Q41" s="97">
        <f t="shared" si="14"/>
        <v>25</v>
      </c>
      <c r="U41" s="187"/>
      <c r="V41" s="187"/>
      <c r="W41" s="187"/>
      <c r="X41" s="187"/>
      <c r="Y41" s="215">
        <f t="shared" si="15"/>
        <v>25</v>
      </c>
      <c r="Z41" s="152"/>
      <c r="AA41" s="96">
        <f t="shared" si="16"/>
        <v>25</v>
      </c>
      <c r="AB41" s="97">
        <f t="shared" si="17"/>
        <v>25</v>
      </c>
      <c r="AC41" s="205"/>
      <c r="AD41" s="205"/>
      <c r="AE41" s="187"/>
      <c r="AF41" s="187">
        <f>25</f>
        <v>25</v>
      </c>
      <c r="AG41" s="187"/>
      <c r="AH41" s="187"/>
      <c r="AI41" s="120"/>
      <c r="AJ41" s="96">
        <f t="shared" si="18"/>
        <v>25</v>
      </c>
      <c r="AK41" s="97">
        <f t="shared" si="19"/>
        <v>25</v>
      </c>
      <c r="AL41" s="22"/>
      <c r="AM41" s="151"/>
      <c r="AN41" s="151"/>
      <c r="AO41" s="151"/>
      <c r="AP41" s="151"/>
      <c r="AQ41" s="151"/>
      <c r="AR41" s="151"/>
      <c r="AS41" s="13"/>
      <c r="AT41" s="95"/>
      <c r="AU41" s="96">
        <f>SUM(AM41:AS41)</f>
        <v>0</v>
      </c>
      <c r="AV41" s="97">
        <f>IF(C41=2015, AU41/3,AU41)+AT41</f>
        <v>0</v>
      </c>
    </row>
    <row r="42" spans="1:67" x14ac:dyDescent="0.25">
      <c r="A42" s="45" t="s">
        <v>68</v>
      </c>
      <c r="B42" s="66" t="s">
        <v>63</v>
      </c>
      <c r="C42" s="46">
        <v>2017</v>
      </c>
      <c r="D42" s="1">
        <f t="shared" si="11"/>
        <v>10</v>
      </c>
      <c r="E42" s="108"/>
      <c r="F42" s="108"/>
      <c r="H42" s="101"/>
      <c r="I42" s="108"/>
      <c r="J42" s="108"/>
      <c r="K42" s="108"/>
      <c r="L42" s="108"/>
      <c r="M42" s="108"/>
      <c r="N42" s="267">
        <f t="shared" si="12"/>
        <v>10</v>
      </c>
      <c r="P42" s="96">
        <f t="shared" si="13"/>
        <v>10</v>
      </c>
      <c r="Q42" s="97">
        <f t="shared" si="14"/>
        <v>10</v>
      </c>
      <c r="R42" s="108"/>
      <c r="S42" s="108"/>
      <c r="T42" s="108"/>
      <c r="U42" s="108"/>
      <c r="V42" s="108"/>
      <c r="W42" s="108"/>
      <c r="X42" s="108"/>
      <c r="Y42" s="215">
        <f t="shared" si="15"/>
        <v>30</v>
      </c>
      <c r="Z42" s="122"/>
      <c r="AA42" s="96">
        <f t="shared" si="16"/>
        <v>30</v>
      </c>
      <c r="AB42" s="97">
        <f t="shared" si="17"/>
        <v>10</v>
      </c>
      <c r="AC42" s="101"/>
      <c r="AD42" s="108">
        <f>0</f>
        <v>0</v>
      </c>
      <c r="AE42" s="108"/>
      <c r="AF42" s="108"/>
      <c r="AG42" s="108"/>
      <c r="AH42" s="108">
        <f>AV42</f>
        <v>30</v>
      </c>
      <c r="AI42" s="122"/>
      <c r="AJ42" s="96">
        <f t="shared" si="18"/>
        <v>30</v>
      </c>
      <c r="AK42" s="97">
        <f t="shared" si="19"/>
        <v>30</v>
      </c>
      <c r="AL42" s="101"/>
      <c r="AM42" s="41"/>
      <c r="AN42" s="41">
        <v>30</v>
      </c>
      <c r="AO42" s="41"/>
      <c r="AP42" s="41"/>
      <c r="AQ42" s="41"/>
      <c r="AR42" s="41"/>
      <c r="AS42" s="260"/>
      <c r="AU42" s="3">
        <f>SUM(AM42:AT42)</f>
        <v>30</v>
      </c>
      <c r="AV42" s="3">
        <f>AU42</f>
        <v>30</v>
      </c>
    </row>
    <row r="43" spans="1:67" x14ac:dyDescent="0.25">
      <c r="A43" s="45" t="s">
        <v>427</v>
      </c>
      <c r="B43" s="66" t="s">
        <v>404</v>
      </c>
      <c r="C43" s="46">
        <v>2015</v>
      </c>
      <c r="D43" s="1">
        <f t="shared" si="11"/>
        <v>2</v>
      </c>
      <c r="H43" s="280"/>
      <c r="N43" s="267">
        <f t="shared" si="12"/>
        <v>2</v>
      </c>
      <c r="P43" s="96">
        <f t="shared" si="13"/>
        <v>2</v>
      </c>
      <c r="Q43" s="97">
        <f t="shared" si="14"/>
        <v>2</v>
      </c>
      <c r="S43" s="215"/>
      <c r="T43" s="215"/>
      <c r="U43" s="215"/>
      <c r="V43" s="215"/>
      <c r="W43" s="215"/>
      <c r="X43" s="215"/>
      <c r="Y43" s="215">
        <f t="shared" si="15"/>
        <v>2</v>
      </c>
      <c r="Z43" s="120"/>
      <c r="AA43" s="96">
        <f t="shared" si="16"/>
        <v>2</v>
      </c>
      <c r="AB43" s="97">
        <f t="shared" si="17"/>
        <v>2</v>
      </c>
      <c r="AC43" s="205"/>
      <c r="AD43" s="205"/>
      <c r="AE43" s="215"/>
      <c r="AF43" s="215"/>
      <c r="AG43" s="215"/>
      <c r="AH43" s="215">
        <f>AV43</f>
        <v>2</v>
      </c>
      <c r="AI43" s="120"/>
      <c r="AJ43" s="96">
        <f t="shared" si="18"/>
        <v>2</v>
      </c>
      <c r="AK43" s="97">
        <f t="shared" si="19"/>
        <v>2</v>
      </c>
      <c r="AL43" s="101"/>
      <c r="AM43" s="41"/>
      <c r="AN43" s="41"/>
      <c r="AO43" s="41"/>
      <c r="AP43" s="41"/>
      <c r="AQ43" s="41">
        <f>6</f>
        <v>6</v>
      </c>
      <c r="AR43" s="41"/>
      <c r="AS43" s="260"/>
      <c r="AT43" s="95"/>
      <c r="AU43" s="96">
        <f>SUM(AM43:AS43)</f>
        <v>6</v>
      </c>
      <c r="AV43" s="97">
        <f>IF(C43=2015, AU43/3,AU43)+AT43</f>
        <v>2</v>
      </c>
    </row>
    <row r="44" spans="1:67" x14ac:dyDescent="0.25">
      <c r="A44" s="11" t="s">
        <v>1133</v>
      </c>
      <c r="B44" s="60" t="s">
        <v>86</v>
      </c>
      <c r="C44" s="62">
        <v>2016</v>
      </c>
      <c r="D44" s="1">
        <f t="shared" si="11"/>
        <v>9</v>
      </c>
      <c r="H44" s="280"/>
      <c r="J44" s="261"/>
      <c r="K44" s="261"/>
      <c r="L44" s="261">
        <f>9</f>
        <v>9</v>
      </c>
      <c r="M44" s="261"/>
      <c r="N44" s="267">
        <f t="shared" si="12"/>
        <v>0</v>
      </c>
      <c r="P44" s="96">
        <f t="shared" si="13"/>
        <v>9</v>
      </c>
      <c r="Q44" s="97">
        <f t="shared" si="14"/>
        <v>9</v>
      </c>
      <c r="R44" s="261"/>
      <c r="S44" s="261"/>
      <c r="T44" s="261"/>
      <c r="U44" s="261"/>
      <c r="V44" s="261"/>
      <c r="W44" s="261"/>
      <c r="X44" s="261"/>
      <c r="Z44" s="152"/>
      <c r="AA44" s="96"/>
      <c r="AB44" s="97"/>
      <c r="AC44" s="205"/>
      <c r="AD44" s="205"/>
      <c r="AE44" s="261"/>
      <c r="AF44" s="261"/>
      <c r="AG44" s="261"/>
      <c r="AH44" s="261"/>
      <c r="AI44" s="120"/>
      <c r="AJ44" s="96"/>
      <c r="AK44" s="97"/>
      <c r="AL44" s="22"/>
      <c r="AM44" s="261"/>
      <c r="AN44" s="261"/>
      <c r="AO44" s="261"/>
      <c r="AP44" s="261"/>
      <c r="AQ44" s="261"/>
      <c r="AR44" s="261"/>
      <c r="AS44" s="22"/>
      <c r="AT44" s="68"/>
      <c r="AU44" s="96"/>
      <c r="AV44" s="9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</row>
    <row r="45" spans="1:67" x14ac:dyDescent="0.25">
      <c r="A45" s="11" t="s">
        <v>987</v>
      </c>
      <c r="B45" s="60" t="s">
        <v>86</v>
      </c>
      <c r="C45" s="62">
        <v>2015</v>
      </c>
      <c r="D45" s="1">
        <f t="shared" si="11"/>
        <v>84</v>
      </c>
      <c r="H45" s="280"/>
      <c r="J45" s="256"/>
      <c r="K45" s="256"/>
      <c r="L45" s="256">
        <f>32+12</f>
        <v>44</v>
      </c>
      <c r="M45" s="256"/>
      <c r="N45" s="267">
        <f t="shared" si="12"/>
        <v>40</v>
      </c>
      <c r="P45" s="96">
        <f t="shared" si="13"/>
        <v>84</v>
      </c>
      <c r="Q45" s="97">
        <f t="shared" si="14"/>
        <v>84</v>
      </c>
      <c r="R45" s="256"/>
      <c r="S45" s="256">
        <f>31+9</f>
        <v>40</v>
      </c>
      <c r="T45" s="256"/>
      <c r="U45" s="256"/>
      <c r="V45" s="256"/>
      <c r="W45" s="256"/>
      <c r="X45" s="256"/>
      <c r="Y45" s="215">
        <f>AK45</f>
        <v>0</v>
      </c>
      <c r="Z45" s="152"/>
      <c r="AA45" s="96">
        <f>AM45+S45+T45+U45+V45+W45+X45+Y45</f>
        <v>40</v>
      </c>
      <c r="AB45" s="97">
        <f>IF(C45=2017, AA45/3,AA45)+Z45</f>
        <v>40</v>
      </c>
      <c r="AC45" s="205"/>
      <c r="AD45" s="205"/>
      <c r="AE45" s="256"/>
      <c r="AF45" s="256"/>
      <c r="AG45" s="256"/>
      <c r="AH45" s="256"/>
      <c r="AI45" s="120"/>
      <c r="AJ45" s="96">
        <f>SUM(AE45:AH45)</f>
        <v>0</v>
      </c>
      <c r="AK45" s="97">
        <f>IF(C45=2016, AJ45/3,AJ45)+AI45</f>
        <v>0</v>
      </c>
      <c r="AL45" s="22"/>
      <c r="AM45" s="261"/>
      <c r="AN45" s="261"/>
      <c r="AO45" s="261"/>
      <c r="AP45" s="261"/>
      <c r="AQ45" s="261"/>
      <c r="AR45" s="261"/>
      <c r="AS45" s="22"/>
      <c r="AT45" s="68"/>
      <c r="AU45" s="96"/>
      <c r="AV45" s="9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</row>
    <row r="46" spans="1:67" x14ac:dyDescent="0.25">
      <c r="A46" s="11" t="s">
        <v>859</v>
      </c>
      <c r="B46" s="60" t="s">
        <v>476</v>
      </c>
      <c r="C46" s="62">
        <v>2014</v>
      </c>
      <c r="D46" s="1">
        <f t="shared" si="11"/>
        <v>3</v>
      </c>
      <c r="E46" s="287"/>
      <c r="F46" s="287"/>
      <c r="H46" s="280"/>
      <c r="I46" s="287"/>
      <c r="J46" s="287"/>
      <c r="K46" s="287"/>
      <c r="L46" s="287">
        <f>0</f>
        <v>0</v>
      </c>
      <c r="M46" s="287"/>
      <c r="N46" s="267">
        <f t="shared" si="12"/>
        <v>3</v>
      </c>
      <c r="P46" s="96">
        <f t="shared" si="13"/>
        <v>3</v>
      </c>
      <c r="Q46" s="97">
        <f t="shared" si="14"/>
        <v>3</v>
      </c>
      <c r="R46" s="287"/>
      <c r="S46" s="287"/>
      <c r="T46" s="287"/>
      <c r="U46" s="287"/>
      <c r="V46" s="287"/>
      <c r="W46" s="287">
        <f>2+1</f>
        <v>3</v>
      </c>
      <c r="X46" s="287"/>
      <c r="Y46" s="215">
        <f>AK46</f>
        <v>0</v>
      </c>
      <c r="Z46" s="152"/>
      <c r="AA46" s="96">
        <f>AM46+S46+T46+U46+V46+W46+X46+Y46</f>
        <v>3</v>
      </c>
      <c r="AB46" s="97">
        <f>IF(C46=2017, AA46/3,AA46)+Z46</f>
        <v>3</v>
      </c>
      <c r="AC46" s="217"/>
      <c r="AD46" s="217"/>
      <c r="AE46" s="287"/>
      <c r="AF46" s="287"/>
      <c r="AG46" s="287"/>
      <c r="AH46" s="287"/>
      <c r="AI46" s="120"/>
      <c r="AJ46" s="96">
        <f>SUM(AE46:AH46)</f>
        <v>0</v>
      </c>
      <c r="AK46" s="97">
        <f>IF(C46=2016, AJ46/3,AJ46)+AI46</f>
        <v>0</v>
      </c>
      <c r="AL46" s="22"/>
      <c r="AM46" s="287"/>
      <c r="AN46" s="287"/>
      <c r="AO46" s="287"/>
      <c r="AP46" s="287"/>
      <c r="AQ46" s="287"/>
      <c r="AR46" s="287"/>
      <c r="AS46" s="22"/>
      <c r="AT46" s="290"/>
      <c r="AU46" s="96"/>
      <c r="AV46" s="9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</row>
    <row r="47" spans="1:67" x14ac:dyDescent="0.25">
      <c r="A47" s="71" t="s">
        <v>425</v>
      </c>
      <c r="B47" s="66" t="s">
        <v>0</v>
      </c>
      <c r="C47" s="46">
        <v>2016</v>
      </c>
      <c r="D47" s="1">
        <f t="shared" si="11"/>
        <v>193.66666666666666</v>
      </c>
      <c r="E47" s="154"/>
      <c r="F47" s="154"/>
      <c r="H47" s="280"/>
      <c r="I47" s="154"/>
      <c r="J47" s="154">
        <f>18+14</f>
        <v>32</v>
      </c>
      <c r="K47" s="154">
        <f>4</f>
        <v>4</v>
      </c>
      <c r="L47" s="154">
        <f>16</f>
        <v>16</v>
      </c>
      <c r="M47" s="154"/>
      <c r="N47" s="267">
        <f t="shared" si="12"/>
        <v>141.66666666666666</v>
      </c>
      <c r="P47" s="96">
        <f t="shared" si="13"/>
        <v>193.66666666666666</v>
      </c>
      <c r="Q47" s="97">
        <f t="shared" si="14"/>
        <v>193.66666666666666</v>
      </c>
      <c r="R47" s="154"/>
      <c r="S47" s="154">
        <f>0+8</f>
        <v>8</v>
      </c>
      <c r="T47" s="154">
        <f>0+22</f>
        <v>22</v>
      </c>
      <c r="U47" s="154">
        <f>12+14+2</f>
        <v>28</v>
      </c>
      <c r="V47" s="154">
        <f>16+6</f>
        <v>22</v>
      </c>
      <c r="W47" s="154"/>
      <c r="X47" s="154">
        <f>28+8</f>
        <v>36</v>
      </c>
      <c r="Y47" s="215">
        <f>AK47</f>
        <v>25.666666666666668</v>
      </c>
      <c r="Z47" s="122"/>
      <c r="AA47" s="96">
        <f>AM47+S47+T47+U47+V47+W47+X47+Y47</f>
        <v>141.66666666666666</v>
      </c>
      <c r="AB47" s="97">
        <f>IF(C47=2017, AA47/3,AA47)+Z47</f>
        <v>141.66666666666666</v>
      </c>
      <c r="AC47" s="232"/>
      <c r="AD47" s="232"/>
      <c r="AE47" s="108">
        <f>27</f>
        <v>27</v>
      </c>
      <c r="AF47" s="108">
        <f>23</f>
        <v>23</v>
      </c>
      <c r="AG47" s="108">
        <f>18</f>
        <v>18</v>
      </c>
      <c r="AH47" s="108">
        <f>AV47</f>
        <v>9</v>
      </c>
      <c r="AI47" s="122"/>
      <c r="AJ47" s="96">
        <f>SUM(AE47:AH47)</f>
        <v>77</v>
      </c>
      <c r="AK47" s="97">
        <f>IF(C47=2016, AJ47/3,AJ47)+AI47</f>
        <v>25.666666666666668</v>
      </c>
      <c r="AL47" s="101"/>
      <c r="AM47" s="41"/>
      <c r="AN47" s="41"/>
      <c r="AO47" s="41"/>
      <c r="AP47" s="41"/>
      <c r="AQ47" s="41">
        <f>9</f>
        <v>9</v>
      </c>
      <c r="AR47" s="41"/>
      <c r="AS47" s="286"/>
      <c r="AT47" s="74"/>
      <c r="AU47" s="96">
        <f>SUM(AM47:AS47)</f>
        <v>9</v>
      </c>
      <c r="AV47" s="97">
        <f>IF(C47=2015, AU47/3,AU47)+AT47</f>
        <v>9</v>
      </c>
    </row>
    <row r="48" spans="1:67" x14ac:dyDescent="0.25">
      <c r="A48" s="11" t="s">
        <v>950</v>
      </c>
      <c r="B48" s="60" t="s">
        <v>938</v>
      </c>
      <c r="C48" s="62">
        <v>2016</v>
      </c>
      <c r="D48" s="1">
        <f t="shared" si="11"/>
        <v>0</v>
      </c>
      <c r="H48" s="280"/>
      <c r="J48" s="256"/>
      <c r="K48" s="256"/>
      <c r="L48" s="256"/>
      <c r="M48" s="256"/>
      <c r="N48" s="267">
        <f t="shared" si="12"/>
        <v>0</v>
      </c>
      <c r="P48" s="96">
        <f t="shared" si="13"/>
        <v>0</v>
      </c>
      <c r="Q48" s="97">
        <f t="shared" si="14"/>
        <v>0</v>
      </c>
      <c r="R48" s="256"/>
      <c r="S48" s="256"/>
      <c r="T48" s="256">
        <f>0</f>
        <v>0</v>
      </c>
      <c r="U48" s="256"/>
      <c r="V48" s="256"/>
      <c r="W48" s="256"/>
      <c r="X48" s="256"/>
      <c r="Y48" s="215">
        <f>AK48</f>
        <v>0</v>
      </c>
      <c r="Z48" s="152"/>
      <c r="AA48" s="96">
        <f>AM48+S48+T48+U48+V48+W48+X48+Y48</f>
        <v>0</v>
      </c>
      <c r="AB48" s="97">
        <f>IF(C48=2017, AA48/3,AA48)+Z48</f>
        <v>0</v>
      </c>
      <c r="AC48" s="205"/>
      <c r="AD48" s="205"/>
      <c r="AE48" s="256"/>
      <c r="AF48" s="256"/>
      <c r="AG48" s="256"/>
      <c r="AH48" s="256"/>
      <c r="AI48" s="120"/>
      <c r="AJ48" s="96">
        <f>SUM(AE48:AH48)</f>
        <v>0</v>
      </c>
      <c r="AK48" s="97">
        <f>IF(C48=2016, AJ48/3,AJ48)+AI48</f>
        <v>0</v>
      </c>
      <c r="AL48" s="22"/>
      <c r="AM48" s="151"/>
      <c r="AN48" s="151"/>
      <c r="AO48" s="151"/>
      <c r="AP48" s="151"/>
      <c r="AQ48" s="151"/>
      <c r="AR48" s="151"/>
      <c r="AS48" s="13"/>
      <c r="AT48" s="155"/>
      <c r="AU48" s="96"/>
      <c r="AV48" s="97"/>
    </row>
    <row r="49" spans="1:48" x14ac:dyDescent="0.25">
      <c r="A49" s="11" t="s">
        <v>1110</v>
      </c>
      <c r="B49" s="60" t="s">
        <v>86</v>
      </c>
      <c r="C49" s="62">
        <v>2014</v>
      </c>
      <c r="D49" s="1">
        <f t="shared" si="11"/>
        <v>0</v>
      </c>
      <c r="H49" s="280"/>
      <c r="J49" s="261"/>
      <c r="K49" s="261"/>
      <c r="L49" s="261">
        <f>0</f>
        <v>0</v>
      </c>
      <c r="M49" s="261"/>
      <c r="N49" s="267">
        <f t="shared" si="12"/>
        <v>0</v>
      </c>
      <c r="P49" s="96">
        <f t="shared" si="13"/>
        <v>0</v>
      </c>
      <c r="Q49" s="97">
        <f t="shared" si="14"/>
        <v>0</v>
      </c>
      <c r="R49" s="261"/>
      <c r="S49" s="261"/>
      <c r="T49" s="261"/>
      <c r="U49" s="261"/>
      <c r="V49" s="261"/>
      <c r="W49" s="261"/>
      <c r="X49" s="261"/>
      <c r="Y49" s="246"/>
      <c r="Z49" s="152"/>
      <c r="AA49" s="96"/>
      <c r="AB49" s="97"/>
      <c r="AC49" s="257"/>
      <c r="AD49" s="257"/>
      <c r="AE49" s="261"/>
      <c r="AF49" s="261"/>
      <c r="AG49" s="261"/>
      <c r="AH49" s="261"/>
      <c r="AI49" s="120"/>
      <c r="AJ49" s="96"/>
      <c r="AK49" s="97"/>
      <c r="AL49" s="22"/>
      <c r="AM49" s="151"/>
      <c r="AN49" s="151"/>
      <c r="AO49" s="151"/>
      <c r="AP49" s="151"/>
      <c r="AQ49" s="151"/>
      <c r="AR49" s="151"/>
      <c r="AS49" s="13"/>
      <c r="AT49" s="95"/>
      <c r="AU49" s="96"/>
      <c r="AV49" s="97"/>
    </row>
    <row r="50" spans="1:48" x14ac:dyDescent="0.25">
      <c r="A50" s="11" t="s">
        <v>1254</v>
      </c>
      <c r="B50" s="60" t="s">
        <v>7</v>
      </c>
      <c r="C50" s="62"/>
      <c r="D50" s="1">
        <f t="shared" si="11"/>
        <v>2</v>
      </c>
      <c r="E50" s="287"/>
      <c r="F50" s="287"/>
      <c r="H50" s="280"/>
      <c r="I50" s="287"/>
      <c r="J50" s="287">
        <f>0</f>
        <v>0</v>
      </c>
      <c r="K50" s="287">
        <f>2</f>
        <v>2</v>
      </c>
      <c r="L50" s="287"/>
      <c r="M50" s="287"/>
      <c r="N50" s="267">
        <f t="shared" si="12"/>
        <v>0</v>
      </c>
      <c r="P50" s="96">
        <f t="shared" si="13"/>
        <v>2</v>
      </c>
      <c r="Q50" s="97">
        <f t="shared" si="14"/>
        <v>2</v>
      </c>
      <c r="R50" s="287"/>
      <c r="S50" s="287"/>
      <c r="T50" s="287"/>
      <c r="U50" s="287"/>
      <c r="V50" s="287"/>
      <c r="W50" s="287"/>
      <c r="X50" s="287"/>
      <c r="Z50" s="152"/>
      <c r="AA50" s="96"/>
      <c r="AB50" s="97"/>
      <c r="AC50" s="263"/>
      <c r="AD50" s="263"/>
      <c r="AE50" s="287"/>
      <c r="AF50" s="287"/>
      <c r="AG50" s="287"/>
      <c r="AH50" s="287"/>
      <c r="AI50" s="120"/>
      <c r="AJ50" s="96"/>
      <c r="AK50" s="97"/>
      <c r="AL50" s="22"/>
      <c r="AM50" s="151"/>
      <c r="AN50" s="151"/>
      <c r="AO50" s="151"/>
      <c r="AP50" s="151"/>
      <c r="AQ50" s="151"/>
      <c r="AR50" s="151"/>
      <c r="AS50" s="13"/>
      <c r="AT50" s="155"/>
      <c r="AU50" s="96"/>
      <c r="AV50" s="97"/>
    </row>
    <row r="51" spans="1:48" x14ac:dyDescent="0.25">
      <c r="A51" s="11" t="s">
        <v>1212</v>
      </c>
      <c r="B51" s="60" t="s">
        <v>64</v>
      </c>
      <c r="C51" s="62">
        <v>2015</v>
      </c>
      <c r="D51" s="1">
        <f t="shared" si="11"/>
        <v>94</v>
      </c>
      <c r="E51" s="283">
        <f>10+12</f>
        <v>22</v>
      </c>
      <c r="H51" s="280"/>
      <c r="I51" s="261">
        <f>27+20</f>
        <v>47</v>
      </c>
      <c r="K51" s="241">
        <f>20+5</f>
        <v>25</v>
      </c>
      <c r="N51" s="267">
        <f t="shared" si="12"/>
        <v>0</v>
      </c>
      <c r="P51" s="96">
        <f t="shared" si="13"/>
        <v>72</v>
      </c>
      <c r="Q51" s="97">
        <f t="shared" si="14"/>
        <v>72</v>
      </c>
      <c r="Z51" s="152"/>
      <c r="AA51" s="96"/>
      <c r="AB51" s="97"/>
      <c r="AC51" s="205"/>
      <c r="AD51" s="205"/>
      <c r="AI51" s="120"/>
      <c r="AJ51" s="96"/>
      <c r="AK51" s="97"/>
      <c r="AL51" s="22"/>
      <c r="AM51" s="151"/>
      <c r="AN51" s="151"/>
      <c r="AO51" s="151"/>
      <c r="AP51" s="151"/>
      <c r="AQ51" s="151"/>
      <c r="AR51" s="151"/>
      <c r="AS51" s="13"/>
      <c r="AT51" s="95"/>
      <c r="AU51" s="96"/>
      <c r="AV51" s="97"/>
    </row>
    <row r="52" spans="1:48" x14ac:dyDescent="0.25">
      <c r="A52" s="11" t="s">
        <v>874</v>
      </c>
      <c r="B52" s="60" t="s">
        <v>404</v>
      </c>
      <c r="C52" s="62">
        <v>2016</v>
      </c>
      <c r="D52" s="1">
        <f t="shared" si="11"/>
        <v>1</v>
      </c>
      <c r="E52" s="287"/>
      <c r="F52" s="287"/>
      <c r="H52" s="280"/>
      <c r="I52" s="287"/>
      <c r="J52" s="287"/>
      <c r="K52" s="287"/>
      <c r="L52" s="287"/>
      <c r="M52" s="287"/>
      <c r="N52" s="267">
        <f t="shared" si="12"/>
        <v>1</v>
      </c>
      <c r="P52" s="96">
        <f t="shared" si="13"/>
        <v>1</v>
      </c>
      <c r="Q52" s="97">
        <f t="shared" si="14"/>
        <v>1</v>
      </c>
      <c r="R52" s="287"/>
      <c r="S52" s="287"/>
      <c r="T52" s="287"/>
      <c r="U52" s="287"/>
      <c r="V52" s="287">
        <f>1</f>
        <v>1</v>
      </c>
      <c r="W52" s="287"/>
      <c r="X52" s="287"/>
      <c r="Y52" s="215">
        <f t="shared" ref="Y52:Y57" si="20">AK52</f>
        <v>0</v>
      </c>
      <c r="Z52" s="152"/>
      <c r="AA52" s="96">
        <f t="shared" ref="AA52:AA57" si="21">AM52+S52+T52+U52+V52+W52+X52+Y52</f>
        <v>1</v>
      </c>
      <c r="AB52" s="97">
        <f t="shared" ref="AB52:AB57" si="22">IF(C52=2017, AA52/3,AA52)+Z52</f>
        <v>1</v>
      </c>
      <c r="AC52" s="205"/>
      <c r="AD52" s="205"/>
      <c r="AE52" s="287"/>
      <c r="AF52" s="287"/>
      <c r="AG52" s="287"/>
      <c r="AH52" s="287"/>
      <c r="AI52" s="120"/>
      <c r="AJ52" s="96">
        <f t="shared" ref="AJ52:AJ57" si="23">SUM(AE52:AH52)</f>
        <v>0</v>
      </c>
      <c r="AK52" s="97">
        <f t="shared" ref="AK52:AK57" si="24">IF(C52=2016, AJ52/3,AJ52)+AI52</f>
        <v>0</v>
      </c>
      <c r="AL52" s="22"/>
      <c r="AM52" s="151"/>
      <c r="AN52" s="151"/>
      <c r="AO52" s="151"/>
      <c r="AP52" s="151"/>
      <c r="AQ52" s="151"/>
      <c r="AR52" s="151"/>
      <c r="AS52" s="13"/>
      <c r="AT52" s="95"/>
      <c r="AU52" s="96"/>
      <c r="AV52" s="97"/>
    </row>
    <row r="53" spans="1:48" x14ac:dyDescent="0.25">
      <c r="A53" s="11" t="s">
        <v>1046</v>
      </c>
      <c r="B53" s="60" t="s">
        <v>86</v>
      </c>
      <c r="C53" s="62">
        <v>2014</v>
      </c>
      <c r="D53" s="1">
        <f t="shared" si="11"/>
        <v>0</v>
      </c>
      <c r="E53" s="287"/>
      <c r="F53" s="287"/>
      <c r="H53" s="290"/>
      <c r="I53" s="287"/>
      <c r="J53" s="287"/>
      <c r="K53" s="287"/>
      <c r="L53" s="287"/>
      <c r="M53" s="287"/>
      <c r="N53" s="267">
        <f t="shared" si="12"/>
        <v>0</v>
      </c>
      <c r="P53" s="96">
        <f t="shared" si="13"/>
        <v>0</v>
      </c>
      <c r="Q53" s="97">
        <f t="shared" si="14"/>
        <v>0</v>
      </c>
      <c r="R53" s="287"/>
      <c r="S53" s="287">
        <f>0</f>
        <v>0</v>
      </c>
      <c r="T53" s="287"/>
      <c r="U53" s="287"/>
      <c r="V53" s="287"/>
      <c r="W53" s="287"/>
      <c r="X53" s="287"/>
      <c r="Y53" s="215">
        <f t="shared" si="20"/>
        <v>0</v>
      </c>
      <c r="Z53" s="152"/>
      <c r="AA53" s="96">
        <f t="shared" si="21"/>
        <v>0</v>
      </c>
      <c r="AB53" s="97">
        <f t="shared" si="22"/>
        <v>0</v>
      </c>
      <c r="AC53" s="290"/>
      <c r="AD53" s="290"/>
      <c r="AE53" s="287"/>
      <c r="AF53" s="287"/>
      <c r="AG53" s="287"/>
      <c r="AH53" s="287"/>
      <c r="AI53" s="120"/>
      <c r="AJ53" s="96">
        <f t="shared" si="23"/>
        <v>0</v>
      </c>
      <c r="AK53" s="97">
        <f t="shared" si="24"/>
        <v>0</v>
      </c>
      <c r="AL53" s="22"/>
      <c r="AM53" s="151"/>
      <c r="AN53" s="151"/>
      <c r="AO53" s="151"/>
      <c r="AP53" s="151"/>
      <c r="AQ53" s="151"/>
      <c r="AR53" s="151"/>
      <c r="AS53" s="13"/>
      <c r="AT53" s="95"/>
      <c r="AU53" s="96"/>
      <c r="AV53" s="97"/>
    </row>
    <row r="54" spans="1:48" x14ac:dyDescent="0.25">
      <c r="A54" s="71" t="s">
        <v>710</v>
      </c>
      <c r="B54" s="66" t="s">
        <v>63</v>
      </c>
      <c r="C54" s="46">
        <v>2016</v>
      </c>
      <c r="D54" s="1">
        <f t="shared" si="11"/>
        <v>0</v>
      </c>
      <c r="E54" s="154"/>
      <c r="F54" s="154"/>
      <c r="H54" s="290"/>
      <c r="I54" s="154"/>
      <c r="J54" s="154"/>
      <c r="K54" s="154"/>
      <c r="L54" s="154"/>
      <c r="M54" s="154"/>
      <c r="N54" s="267">
        <f t="shared" si="12"/>
        <v>0</v>
      </c>
      <c r="P54" s="96">
        <f t="shared" si="13"/>
        <v>0</v>
      </c>
      <c r="Q54" s="97">
        <f t="shared" si="14"/>
        <v>0</v>
      </c>
      <c r="R54" s="154"/>
      <c r="S54" s="154"/>
      <c r="T54" s="154"/>
      <c r="U54" s="154"/>
      <c r="V54" s="154"/>
      <c r="W54" s="154"/>
      <c r="X54" s="154"/>
      <c r="Y54" s="215">
        <f t="shared" si="20"/>
        <v>0</v>
      </c>
      <c r="Z54" s="122"/>
      <c r="AA54" s="96">
        <f t="shared" si="21"/>
        <v>0</v>
      </c>
      <c r="AB54" s="97">
        <f t="shared" si="22"/>
        <v>0</v>
      </c>
      <c r="AC54" s="290"/>
      <c r="AD54" s="290"/>
      <c r="AE54" s="108"/>
      <c r="AF54" s="108"/>
      <c r="AG54" s="108"/>
      <c r="AH54" s="108"/>
      <c r="AI54" s="122"/>
      <c r="AJ54" s="96">
        <f t="shared" si="23"/>
        <v>0</v>
      </c>
      <c r="AK54" s="97">
        <f t="shared" si="24"/>
        <v>0</v>
      </c>
      <c r="AL54" s="101"/>
      <c r="AM54" s="41"/>
      <c r="AN54" s="41"/>
      <c r="AO54" s="41"/>
      <c r="AP54" s="41"/>
      <c r="AQ54" s="41"/>
      <c r="AR54" s="41"/>
      <c r="AS54" s="286"/>
      <c r="AT54" s="74"/>
      <c r="AU54" s="96">
        <f>SUM(AM54:AS54)</f>
        <v>0</v>
      </c>
      <c r="AV54" s="97">
        <f>IF(C54=2015, AU54/3,AU54)+AT54</f>
        <v>0</v>
      </c>
    </row>
    <row r="55" spans="1:48" x14ac:dyDescent="0.25">
      <c r="A55" s="11" t="s">
        <v>419</v>
      </c>
      <c r="B55" s="60" t="s">
        <v>7</v>
      </c>
      <c r="C55" s="62">
        <v>2014</v>
      </c>
      <c r="D55" s="1">
        <f t="shared" si="11"/>
        <v>48</v>
      </c>
      <c r="H55" s="280"/>
      <c r="L55" s="231"/>
      <c r="M55" s="231"/>
      <c r="N55" s="267">
        <f t="shared" si="12"/>
        <v>48</v>
      </c>
      <c r="P55" s="96">
        <f t="shared" si="13"/>
        <v>48</v>
      </c>
      <c r="Q55" s="97">
        <f t="shared" si="14"/>
        <v>48</v>
      </c>
      <c r="R55" s="231"/>
      <c r="S55" s="231"/>
      <c r="T55" s="231"/>
      <c r="U55" s="231"/>
      <c r="V55" s="231"/>
      <c r="W55" s="231">
        <f>0</f>
        <v>0</v>
      </c>
      <c r="X55" s="231"/>
      <c r="Y55" s="215">
        <f t="shared" si="20"/>
        <v>48</v>
      </c>
      <c r="Z55" s="120"/>
      <c r="AA55" s="96">
        <f t="shared" si="21"/>
        <v>48</v>
      </c>
      <c r="AB55" s="97">
        <f t="shared" si="22"/>
        <v>48</v>
      </c>
      <c r="AC55" s="232"/>
      <c r="AD55" s="232"/>
      <c r="AE55" s="231">
        <f>0</f>
        <v>0</v>
      </c>
      <c r="AF55" s="231">
        <f>2</f>
        <v>2</v>
      </c>
      <c r="AG55" s="231">
        <f>18</f>
        <v>18</v>
      </c>
      <c r="AH55" s="231">
        <f>AV55</f>
        <v>28</v>
      </c>
      <c r="AI55" s="120"/>
      <c r="AJ55" s="96">
        <f t="shared" si="23"/>
        <v>48</v>
      </c>
      <c r="AK55" s="97">
        <f t="shared" si="24"/>
        <v>48</v>
      </c>
      <c r="AL55" s="22"/>
      <c r="AM55" s="41"/>
      <c r="AN55" s="41"/>
      <c r="AO55" s="41"/>
      <c r="AP55" s="41"/>
      <c r="AQ55" s="41">
        <f>0</f>
        <v>0</v>
      </c>
      <c r="AR55" s="41">
        <f>28</f>
        <v>28</v>
      </c>
      <c r="AS55" s="13"/>
      <c r="AT55" s="95"/>
      <c r="AU55" s="96">
        <f>SUM(AM55:AS55)</f>
        <v>28</v>
      </c>
      <c r="AV55" s="97">
        <f>IF(C55=2015, AU55/3,AU55)+AT55</f>
        <v>28</v>
      </c>
    </row>
    <row r="56" spans="1:48" x14ac:dyDescent="0.25">
      <c r="A56" s="11" t="s">
        <v>229</v>
      </c>
      <c r="B56" s="11" t="s">
        <v>230</v>
      </c>
      <c r="C56" s="3">
        <v>2016</v>
      </c>
      <c r="D56" s="1">
        <f t="shared" si="11"/>
        <v>21</v>
      </c>
      <c r="E56" s="154"/>
      <c r="F56" s="154"/>
      <c r="H56" s="290"/>
      <c r="I56" s="154"/>
      <c r="J56" s="154"/>
      <c r="K56" s="154"/>
      <c r="L56" s="154"/>
      <c r="M56" s="154"/>
      <c r="N56" s="267">
        <f t="shared" si="12"/>
        <v>21</v>
      </c>
      <c r="P56" s="96">
        <f t="shared" si="13"/>
        <v>21</v>
      </c>
      <c r="Q56" s="97">
        <f t="shared" si="14"/>
        <v>21</v>
      </c>
      <c r="R56" s="154"/>
      <c r="S56" s="154"/>
      <c r="T56" s="154"/>
      <c r="U56" s="154"/>
      <c r="V56" s="154"/>
      <c r="W56" s="154"/>
      <c r="X56" s="154"/>
      <c r="Y56" s="215">
        <f t="shared" si="20"/>
        <v>21</v>
      </c>
      <c r="Z56" s="122"/>
      <c r="AA56" s="96">
        <f t="shared" si="21"/>
        <v>21</v>
      </c>
      <c r="AB56" s="97">
        <f t="shared" si="22"/>
        <v>21</v>
      </c>
      <c r="AC56" s="290"/>
      <c r="AD56" s="290"/>
      <c r="AE56" s="108"/>
      <c r="AF56" s="108"/>
      <c r="AG56" s="108"/>
      <c r="AH56" s="108">
        <f>AV56</f>
        <v>63</v>
      </c>
      <c r="AI56" s="122"/>
      <c r="AJ56" s="96">
        <f t="shared" si="23"/>
        <v>63</v>
      </c>
      <c r="AK56" s="97">
        <f t="shared" si="24"/>
        <v>21</v>
      </c>
      <c r="AL56" s="101"/>
      <c r="AM56" s="41"/>
      <c r="AN56" s="41"/>
      <c r="AO56" s="41">
        <f>24</f>
        <v>24</v>
      </c>
      <c r="AP56" s="41">
        <f>36</f>
        <v>36</v>
      </c>
      <c r="AQ56" s="41"/>
      <c r="AR56" s="41">
        <f>0</f>
        <v>0</v>
      </c>
      <c r="AS56" s="41">
        <f>3</f>
        <v>3</v>
      </c>
      <c r="AU56" s="96">
        <f>SUM(AM56:AS56)</f>
        <v>63</v>
      </c>
      <c r="AV56" s="97">
        <f>IF(C56=2015, AU56/3,AU56)+AT56</f>
        <v>63</v>
      </c>
    </row>
    <row r="57" spans="1:48" x14ac:dyDescent="0.25">
      <c r="A57" s="11" t="s">
        <v>445</v>
      </c>
      <c r="B57" s="11" t="s">
        <v>63</v>
      </c>
      <c r="C57" s="3">
        <v>2017</v>
      </c>
      <c r="D57" s="1">
        <f t="shared" si="11"/>
        <v>1.6666666666666667</v>
      </c>
      <c r="E57" s="108"/>
      <c r="F57" s="108"/>
      <c r="H57" s="101"/>
      <c r="I57" s="108"/>
      <c r="J57" s="108"/>
      <c r="K57" s="108"/>
      <c r="L57" s="108"/>
      <c r="M57" s="108"/>
      <c r="N57" s="267">
        <f t="shared" si="12"/>
        <v>1.6666666666666667</v>
      </c>
      <c r="P57" s="96">
        <f t="shared" si="13"/>
        <v>1.6666666666666667</v>
      </c>
      <c r="Q57" s="97">
        <f t="shared" si="14"/>
        <v>1.6666666666666667</v>
      </c>
      <c r="R57" s="108"/>
      <c r="S57" s="108"/>
      <c r="T57" s="108"/>
      <c r="U57" s="108"/>
      <c r="V57" s="108"/>
      <c r="W57" s="108"/>
      <c r="X57" s="108"/>
      <c r="Y57" s="215">
        <f t="shared" si="20"/>
        <v>5</v>
      </c>
      <c r="Z57" s="122"/>
      <c r="AA57" s="96">
        <f t="shared" si="21"/>
        <v>5</v>
      </c>
      <c r="AB57" s="97">
        <f t="shared" si="22"/>
        <v>1.6666666666666667</v>
      </c>
      <c r="AC57" s="101"/>
      <c r="AD57" s="108"/>
      <c r="AE57" s="108"/>
      <c r="AF57" s="108"/>
      <c r="AG57" s="108"/>
      <c r="AH57" s="108">
        <f>AV57</f>
        <v>5</v>
      </c>
      <c r="AI57" s="122"/>
      <c r="AJ57" s="96">
        <f t="shared" si="23"/>
        <v>5</v>
      </c>
      <c r="AK57" s="97">
        <f t="shared" si="24"/>
        <v>5</v>
      </c>
      <c r="AL57" s="101"/>
      <c r="AM57" s="41"/>
      <c r="AN57" s="41"/>
      <c r="AO57" s="41"/>
      <c r="AP57" s="41"/>
      <c r="AQ57" s="41">
        <f>5</f>
        <v>5</v>
      </c>
      <c r="AR57" s="41"/>
      <c r="AS57" s="41"/>
      <c r="AU57" s="3">
        <f>SUM(AM57:AT57)</f>
        <v>5</v>
      </c>
      <c r="AV57" s="3">
        <f>AU57</f>
        <v>5</v>
      </c>
    </row>
    <row r="58" spans="1:48" x14ac:dyDescent="0.25">
      <c r="A58" s="11" t="s">
        <v>1261</v>
      </c>
      <c r="B58" s="11" t="s">
        <v>529</v>
      </c>
      <c r="C58" s="3">
        <v>2016</v>
      </c>
      <c r="D58" s="1">
        <f t="shared" si="11"/>
        <v>165</v>
      </c>
      <c r="E58" s="108">
        <f>48+39</f>
        <v>87</v>
      </c>
      <c r="F58" s="108"/>
      <c r="H58" s="101"/>
      <c r="I58" s="108"/>
      <c r="J58" s="108">
        <f>60+18</f>
        <v>78</v>
      </c>
      <c r="K58" s="108"/>
      <c r="L58" s="108"/>
      <c r="M58" s="108"/>
      <c r="N58" s="267">
        <f t="shared" si="12"/>
        <v>0</v>
      </c>
      <c r="P58" s="96">
        <f t="shared" si="13"/>
        <v>78</v>
      </c>
      <c r="Q58" s="97">
        <f t="shared" si="14"/>
        <v>78</v>
      </c>
      <c r="R58" s="108"/>
      <c r="S58" s="108"/>
      <c r="T58" s="108"/>
      <c r="U58" s="108"/>
      <c r="V58" s="108"/>
      <c r="W58" s="108"/>
      <c r="X58" s="108"/>
      <c r="Z58" s="122"/>
      <c r="AA58" s="96"/>
      <c r="AB58" s="97"/>
      <c r="AC58" s="101"/>
      <c r="AD58" s="108"/>
      <c r="AE58" s="108"/>
      <c r="AF58" s="108"/>
      <c r="AG58" s="108"/>
      <c r="AH58" s="108"/>
      <c r="AI58" s="122"/>
      <c r="AJ58" s="96"/>
      <c r="AK58" s="97"/>
      <c r="AL58" s="101"/>
      <c r="AM58" s="41"/>
      <c r="AN58" s="41"/>
      <c r="AO58" s="41"/>
      <c r="AP58" s="41"/>
      <c r="AQ58" s="41"/>
      <c r="AR58" s="41"/>
      <c r="AS58" s="41"/>
    </row>
    <row r="59" spans="1:48" x14ac:dyDescent="0.25">
      <c r="A59" s="11" t="s">
        <v>837</v>
      </c>
      <c r="B59" s="60" t="s">
        <v>476</v>
      </c>
      <c r="C59" s="62">
        <v>2014</v>
      </c>
      <c r="D59" s="1">
        <f t="shared" si="11"/>
        <v>7</v>
      </c>
      <c r="H59" s="280"/>
      <c r="J59" s="261"/>
      <c r="K59" s="261"/>
      <c r="L59" s="261">
        <f>6</f>
        <v>6</v>
      </c>
      <c r="M59" s="261"/>
      <c r="N59" s="267">
        <f t="shared" si="12"/>
        <v>1</v>
      </c>
      <c r="P59" s="96">
        <f t="shared" si="13"/>
        <v>7</v>
      </c>
      <c r="Q59" s="97">
        <f t="shared" si="14"/>
        <v>7</v>
      </c>
      <c r="R59" s="261"/>
      <c r="S59" s="261"/>
      <c r="T59" s="261"/>
      <c r="U59" s="261"/>
      <c r="V59" s="261"/>
      <c r="W59" s="261">
        <f>0+1</f>
        <v>1</v>
      </c>
      <c r="X59" s="261"/>
      <c r="Y59" s="215">
        <f>AK59</f>
        <v>0</v>
      </c>
      <c r="Z59" s="152"/>
      <c r="AA59" s="96">
        <f>AM59+S59+T59+U59+V59+W59+X59+Y59</f>
        <v>1</v>
      </c>
      <c r="AB59" s="97">
        <f>IF(C59=2017, AA59/3,AA59)+Z59</f>
        <v>1</v>
      </c>
      <c r="AC59" s="205"/>
      <c r="AD59" s="205"/>
      <c r="AE59" s="261"/>
      <c r="AF59" s="261"/>
      <c r="AG59" s="261"/>
      <c r="AH59" s="261"/>
      <c r="AI59" s="120"/>
      <c r="AJ59" s="96">
        <f>SUM(AE59:AH59)</f>
        <v>0</v>
      </c>
      <c r="AK59" s="97">
        <f>IF(C59=2016, AJ59/3,AJ59)+AI59</f>
        <v>0</v>
      </c>
      <c r="AL59" s="22"/>
      <c r="AM59" s="151"/>
      <c r="AN59" s="151"/>
      <c r="AO59" s="151"/>
      <c r="AP59" s="151"/>
      <c r="AQ59" s="151"/>
      <c r="AR59" s="151"/>
      <c r="AS59" s="13"/>
      <c r="AT59" s="95"/>
      <c r="AU59" s="96"/>
      <c r="AV59" s="97"/>
    </row>
    <row r="60" spans="1:48" x14ac:dyDescent="0.25">
      <c r="A60" s="11" t="s">
        <v>1105</v>
      </c>
      <c r="B60" s="11" t="s">
        <v>36</v>
      </c>
      <c r="C60" s="62">
        <v>2014</v>
      </c>
      <c r="D60" s="1">
        <f t="shared" si="11"/>
        <v>9</v>
      </c>
      <c r="H60" s="280"/>
      <c r="L60" s="231">
        <f>9</f>
        <v>9</v>
      </c>
      <c r="M60" s="231"/>
      <c r="N60" s="267">
        <f t="shared" si="12"/>
        <v>0</v>
      </c>
      <c r="P60" s="96">
        <f t="shared" si="13"/>
        <v>9</v>
      </c>
      <c r="Q60" s="97">
        <f t="shared" si="14"/>
        <v>9</v>
      </c>
      <c r="R60" s="231"/>
      <c r="S60" s="231"/>
      <c r="T60" s="231"/>
      <c r="U60" s="231"/>
      <c r="V60" s="231"/>
      <c r="W60" s="231"/>
      <c r="X60" s="231"/>
      <c r="Z60" s="152"/>
      <c r="AA60" s="96"/>
      <c r="AB60" s="97"/>
      <c r="AC60" s="205"/>
      <c r="AD60" s="205"/>
      <c r="AE60" s="231"/>
      <c r="AF60" s="231"/>
      <c r="AG60" s="231"/>
      <c r="AH60" s="231"/>
      <c r="AI60" s="120"/>
      <c r="AJ60" s="96"/>
      <c r="AK60" s="97"/>
      <c r="AL60" s="22"/>
      <c r="AM60" s="151"/>
      <c r="AN60" s="151"/>
      <c r="AO60" s="151"/>
      <c r="AP60" s="151"/>
      <c r="AQ60" s="151"/>
      <c r="AR60" s="151"/>
      <c r="AS60" s="13"/>
      <c r="AT60" s="95"/>
      <c r="AU60" s="96"/>
      <c r="AV60" s="97"/>
    </row>
    <row r="61" spans="1:48" ht="14.25" customHeight="1" x14ac:dyDescent="0.25">
      <c r="A61" s="11" t="s">
        <v>472</v>
      </c>
      <c r="B61" s="60" t="s">
        <v>7</v>
      </c>
      <c r="C61" s="62">
        <v>2014</v>
      </c>
      <c r="D61" s="1">
        <f t="shared" si="11"/>
        <v>42</v>
      </c>
      <c r="H61" s="290"/>
      <c r="J61" s="261"/>
      <c r="K61" s="261"/>
      <c r="L61" s="261"/>
      <c r="M61" s="261"/>
      <c r="N61" s="267">
        <f t="shared" si="12"/>
        <v>42</v>
      </c>
      <c r="P61" s="96">
        <f t="shared" si="13"/>
        <v>42</v>
      </c>
      <c r="Q61" s="97">
        <f t="shared" si="14"/>
        <v>42</v>
      </c>
      <c r="R61" s="261"/>
      <c r="S61" s="261"/>
      <c r="T61" s="261"/>
      <c r="U61" s="261"/>
      <c r="V61" s="261"/>
      <c r="W61" s="261"/>
      <c r="X61" s="261"/>
      <c r="Y61" s="215">
        <f>AK61</f>
        <v>42</v>
      </c>
      <c r="Z61" s="120"/>
      <c r="AA61" s="96">
        <f>AM61+S61+T61+U61+V61+W61+X61+Y61</f>
        <v>42</v>
      </c>
      <c r="AB61" s="97">
        <f>IF(C61=2017, AA61/3,AA61)+Z61</f>
        <v>42</v>
      </c>
      <c r="AC61" s="290"/>
      <c r="AD61" s="290"/>
      <c r="AE61" s="50">
        <f>0</f>
        <v>0</v>
      </c>
      <c r="AF61" s="50">
        <f>6</f>
        <v>6</v>
      </c>
      <c r="AG61" s="50">
        <f>13</f>
        <v>13</v>
      </c>
      <c r="AH61" s="50">
        <f>AV61</f>
        <v>23</v>
      </c>
      <c r="AI61" s="120"/>
      <c r="AJ61" s="96">
        <f>SUM(AE61:AH61)</f>
        <v>42</v>
      </c>
      <c r="AK61" s="97">
        <f>IF(C61=2016, AJ61/3,AJ61)+AI61</f>
        <v>42</v>
      </c>
      <c r="AL61" s="22"/>
      <c r="AM61" s="41"/>
      <c r="AN61" s="67"/>
      <c r="AO61" s="41"/>
      <c r="AP61" s="41"/>
      <c r="AQ61" s="41"/>
      <c r="AR61" s="41">
        <f>23</f>
        <v>23</v>
      </c>
      <c r="AS61" s="13"/>
      <c r="AT61" s="95"/>
      <c r="AU61" s="96">
        <f>SUM(AM61:AS61)</f>
        <v>23</v>
      </c>
      <c r="AV61" s="97">
        <f>IF(C61=2015, AU61/3,AU61)+AT61</f>
        <v>23</v>
      </c>
    </row>
    <row r="62" spans="1:48" x14ac:dyDescent="0.25">
      <c r="A62" s="11" t="s">
        <v>954</v>
      </c>
      <c r="B62" s="60" t="s">
        <v>63</v>
      </c>
      <c r="C62" s="62">
        <v>2015</v>
      </c>
      <c r="D62" s="1">
        <f t="shared" si="11"/>
        <v>0</v>
      </c>
      <c r="H62" s="280"/>
      <c r="L62" s="231"/>
      <c r="M62" s="231"/>
      <c r="N62" s="267">
        <f t="shared" si="12"/>
        <v>0</v>
      </c>
      <c r="P62" s="96">
        <f t="shared" si="13"/>
        <v>0</v>
      </c>
      <c r="Q62" s="97">
        <f t="shared" si="14"/>
        <v>0</v>
      </c>
      <c r="R62" s="231"/>
      <c r="S62" s="231"/>
      <c r="T62" s="231">
        <f>0</f>
        <v>0</v>
      </c>
      <c r="U62" s="231"/>
      <c r="V62" s="231"/>
      <c r="W62" s="231"/>
      <c r="X62" s="231"/>
      <c r="Y62" s="215">
        <f>AK62</f>
        <v>0</v>
      </c>
      <c r="Z62" s="152"/>
      <c r="AA62" s="96">
        <f>AM62+S62+T62+U62+V62+W62+X62+Y62</f>
        <v>0</v>
      </c>
      <c r="AB62" s="97">
        <f>IF(C62=2017, AA62/3,AA62)+Z62</f>
        <v>0</v>
      </c>
      <c r="AC62" s="205"/>
      <c r="AD62" s="205"/>
      <c r="AE62" s="215"/>
      <c r="AF62" s="215"/>
      <c r="AG62" s="215"/>
      <c r="AH62" s="215"/>
      <c r="AI62" s="120"/>
      <c r="AJ62" s="96">
        <f>SUM(AE62:AH62)</f>
        <v>0</v>
      </c>
      <c r="AK62" s="97">
        <f>IF(C62=2016, AJ62/3,AJ62)+AI62</f>
        <v>0</v>
      </c>
      <c r="AL62" s="22"/>
      <c r="AM62" s="151"/>
      <c r="AN62" s="151"/>
      <c r="AO62" s="151"/>
      <c r="AP62" s="151"/>
      <c r="AQ62" s="151"/>
      <c r="AR62" s="151"/>
      <c r="AS62" s="13"/>
      <c r="AT62" s="95"/>
      <c r="AU62" s="96"/>
      <c r="AV62" s="97"/>
    </row>
    <row r="63" spans="1:48" x14ac:dyDescent="0.25">
      <c r="A63" s="11" t="s">
        <v>1224</v>
      </c>
      <c r="B63" s="66" t="s">
        <v>834</v>
      </c>
      <c r="C63" s="62"/>
      <c r="D63" s="1">
        <f t="shared" si="11"/>
        <v>57</v>
      </c>
      <c r="J63" s="246">
        <f>19+12</f>
        <v>31</v>
      </c>
      <c r="K63" s="241">
        <f>18+8</f>
        <v>26</v>
      </c>
      <c r="N63" s="267">
        <f t="shared" si="12"/>
        <v>0</v>
      </c>
      <c r="P63" s="96">
        <f t="shared" ref="P63:P94" si="25">I63+J63+K63+L63+M63+N63</f>
        <v>57</v>
      </c>
      <c r="Q63" s="97">
        <f t="shared" si="14"/>
        <v>57</v>
      </c>
      <c r="T63" s="201"/>
      <c r="U63" s="201"/>
      <c r="V63" s="201"/>
      <c r="W63" s="201"/>
      <c r="X63" s="201"/>
      <c r="Z63" s="152"/>
      <c r="AA63" s="96"/>
      <c r="AB63" s="97"/>
      <c r="AI63" s="120"/>
      <c r="AJ63" s="96"/>
      <c r="AK63" s="97"/>
      <c r="AL63" s="22"/>
      <c r="AM63" s="151"/>
      <c r="AN63" s="151"/>
      <c r="AO63" s="151"/>
      <c r="AP63" s="151"/>
      <c r="AQ63" s="151"/>
      <c r="AR63" s="151"/>
      <c r="AS63" s="13"/>
      <c r="AT63" s="95"/>
      <c r="AU63" s="96"/>
      <c r="AV63" s="97"/>
    </row>
    <row r="64" spans="1:48" x14ac:dyDescent="0.25">
      <c r="A64" s="11" t="s">
        <v>1123</v>
      </c>
      <c r="B64" s="11" t="s">
        <v>1088</v>
      </c>
      <c r="C64" s="3">
        <v>2015</v>
      </c>
      <c r="D64" s="1">
        <f t="shared" si="11"/>
        <v>0</v>
      </c>
      <c r="E64" s="287"/>
      <c r="F64" s="287"/>
      <c r="I64" s="287"/>
      <c r="J64" s="287"/>
      <c r="K64" s="287"/>
      <c r="L64" s="287">
        <f>0</f>
        <v>0</v>
      </c>
      <c r="M64" s="287"/>
      <c r="N64" s="267">
        <f t="shared" si="12"/>
        <v>0</v>
      </c>
      <c r="P64" s="96">
        <f t="shared" si="25"/>
        <v>0</v>
      </c>
      <c r="Q64" s="97">
        <f t="shared" si="14"/>
        <v>0</v>
      </c>
      <c r="R64" s="287"/>
      <c r="S64" s="287"/>
      <c r="T64" s="287"/>
      <c r="U64" s="287"/>
      <c r="V64" s="287"/>
      <c r="W64" s="287"/>
      <c r="X64" s="287"/>
      <c r="Z64" s="287"/>
      <c r="AE64" s="287"/>
      <c r="AF64" s="287"/>
      <c r="AG64" s="287"/>
      <c r="AH64" s="287"/>
      <c r="AI64" s="287"/>
      <c r="AL64" s="285"/>
      <c r="AM64" s="287"/>
      <c r="AN64" s="287"/>
      <c r="AO64" s="287"/>
      <c r="AP64" s="287"/>
      <c r="AQ64" s="287"/>
      <c r="AR64" s="287"/>
      <c r="AS64" s="285"/>
    </row>
    <row r="65" spans="1:48" x14ac:dyDescent="0.25">
      <c r="A65" s="11" t="s">
        <v>849</v>
      </c>
      <c r="B65" s="60" t="s">
        <v>7</v>
      </c>
      <c r="C65" s="62">
        <v>2015</v>
      </c>
      <c r="D65" s="1">
        <f t="shared" si="11"/>
        <v>140</v>
      </c>
      <c r="H65" s="290"/>
      <c r="J65" s="246">
        <f>0</f>
        <v>0</v>
      </c>
      <c r="K65" s="241">
        <f>41</f>
        <v>41</v>
      </c>
      <c r="L65" s="231"/>
      <c r="M65" s="231"/>
      <c r="N65" s="267">
        <f t="shared" si="12"/>
        <v>99</v>
      </c>
      <c r="P65" s="96">
        <f t="shared" si="25"/>
        <v>140</v>
      </c>
      <c r="Q65" s="97">
        <f t="shared" si="14"/>
        <v>140</v>
      </c>
      <c r="R65" s="231"/>
      <c r="S65" s="231">
        <f>31</f>
        <v>31</v>
      </c>
      <c r="T65" s="231">
        <f>24+1</f>
        <v>25</v>
      </c>
      <c r="U65" s="231"/>
      <c r="V65" s="231">
        <f>43</f>
        <v>43</v>
      </c>
      <c r="W65" s="231">
        <f>0</f>
        <v>0</v>
      </c>
      <c r="X65" s="231"/>
      <c r="Y65" s="215">
        <f t="shared" ref="Y65:Y70" si="26">AK65</f>
        <v>0</v>
      </c>
      <c r="Z65" s="152"/>
      <c r="AA65" s="96">
        <f t="shared" ref="AA65:AA70" si="27">AM65+S65+T65+U65+V65+W65+X65+Y65</f>
        <v>99</v>
      </c>
      <c r="AB65" s="97">
        <f t="shared" ref="AB65:AB70" si="28">IF(C65=2017, AA65/3,AA65)+Z65</f>
        <v>99</v>
      </c>
      <c r="AC65" s="290"/>
      <c r="AD65" s="290"/>
      <c r="AE65" s="231"/>
      <c r="AF65" s="231"/>
      <c r="AG65" s="231"/>
      <c r="AH65" s="231"/>
      <c r="AI65" s="120"/>
      <c r="AJ65" s="96">
        <f t="shared" ref="AJ65:AJ70" si="29">SUM(AE65:AH65)</f>
        <v>0</v>
      </c>
      <c r="AK65" s="97">
        <f t="shared" ref="AK65:AK70" si="30">IF(C65=2016, AJ65/3,AJ65)+AI65</f>
        <v>0</v>
      </c>
      <c r="AL65" s="22"/>
      <c r="AM65" s="151"/>
      <c r="AN65" s="151"/>
      <c r="AO65" s="151"/>
      <c r="AP65" s="151"/>
      <c r="AQ65" s="151"/>
      <c r="AR65" s="151"/>
      <c r="AS65" s="13"/>
      <c r="AT65" s="95"/>
      <c r="AU65" s="96"/>
      <c r="AV65" s="97"/>
    </row>
    <row r="66" spans="1:48" x14ac:dyDescent="0.25">
      <c r="A66" s="11" t="s">
        <v>1025</v>
      </c>
      <c r="B66" s="60" t="s">
        <v>86</v>
      </c>
      <c r="C66" s="62">
        <v>2014</v>
      </c>
      <c r="D66" s="1">
        <f t="shared" si="11"/>
        <v>33</v>
      </c>
      <c r="E66" s="287"/>
      <c r="F66" s="287"/>
      <c r="H66" s="280"/>
      <c r="I66" s="287"/>
      <c r="J66" s="287"/>
      <c r="K66" s="287"/>
      <c r="L66" s="287">
        <f>0</f>
        <v>0</v>
      </c>
      <c r="M66" s="287"/>
      <c r="N66" s="267">
        <f t="shared" si="12"/>
        <v>33</v>
      </c>
      <c r="P66" s="96">
        <f t="shared" si="25"/>
        <v>33</v>
      </c>
      <c r="Q66" s="97">
        <f t="shared" si="14"/>
        <v>33</v>
      </c>
      <c r="R66" s="287"/>
      <c r="S66" s="287">
        <f>33</f>
        <v>33</v>
      </c>
      <c r="T66" s="287"/>
      <c r="U66" s="287"/>
      <c r="V66" s="287"/>
      <c r="W66" s="287"/>
      <c r="X66" s="287"/>
      <c r="Y66" s="215">
        <f t="shared" si="26"/>
        <v>0</v>
      </c>
      <c r="Z66" s="152"/>
      <c r="AA66" s="96">
        <f t="shared" si="27"/>
        <v>33</v>
      </c>
      <c r="AB66" s="97">
        <f t="shared" si="28"/>
        <v>33</v>
      </c>
      <c r="AC66" s="257"/>
      <c r="AD66" s="257"/>
      <c r="AE66" s="287"/>
      <c r="AF66" s="287"/>
      <c r="AG66" s="287"/>
      <c r="AH66" s="287"/>
      <c r="AI66" s="120"/>
      <c r="AJ66" s="96">
        <f t="shared" si="29"/>
        <v>0</v>
      </c>
      <c r="AK66" s="97">
        <f t="shared" si="30"/>
        <v>0</v>
      </c>
      <c r="AL66" s="22"/>
      <c r="AM66" s="151"/>
      <c r="AN66" s="151"/>
      <c r="AO66" s="151"/>
      <c r="AP66" s="151"/>
      <c r="AQ66" s="151"/>
      <c r="AR66" s="151"/>
      <c r="AS66" s="13"/>
      <c r="AT66" s="95"/>
      <c r="AU66" s="96"/>
      <c r="AV66" s="97"/>
    </row>
    <row r="67" spans="1:48" x14ac:dyDescent="0.25">
      <c r="A67" s="71" t="s">
        <v>623</v>
      </c>
      <c r="B67" s="71" t="s">
        <v>598</v>
      </c>
      <c r="C67" s="72"/>
      <c r="D67" s="1">
        <f t="shared" si="11"/>
        <v>21</v>
      </c>
      <c r="H67" s="280"/>
      <c r="N67" s="267">
        <f t="shared" si="12"/>
        <v>21</v>
      </c>
      <c r="P67" s="96">
        <f t="shared" si="25"/>
        <v>21</v>
      </c>
      <c r="Q67" s="97">
        <f t="shared" si="14"/>
        <v>21</v>
      </c>
      <c r="V67" s="172"/>
      <c r="W67" s="172"/>
      <c r="X67" s="172"/>
      <c r="Y67" s="215">
        <f t="shared" si="26"/>
        <v>21</v>
      </c>
      <c r="Z67" s="152"/>
      <c r="AA67" s="96">
        <f t="shared" si="27"/>
        <v>21</v>
      </c>
      <c r="AB67" s="97">
        <f t="shared" si="28"/>
        <v>21</v>
      </c>
      <c r="AC67" s="257"/>
      <c r="AD67" s="257"/>
      <c r="AE67" s="172"/>
      <c r="AF67" s="172">
        <f>21</f>
        <v>21</v>
      </c>
      <c r="AG67" s="172"/>
      <c r="AH67" s="172"/>
      <c r="AI67" s="120"/>
      <c r="AJ67" s="96">
        <f t="shared" si="29"/>
        <v>21</v>
      </c>
      <c r="AK67" s="97">
        <f t="shared" si="30"/>
        <v>21</v>
      </c>
      <c r="AL67" s="22"/>
      <c r="AM67" s="287"/>
      <c r="AN67" s="287"/>
      <c r="AO67" s="287"/>
      <c r="AP67" s="287"/>
      <c r="AQ67" s="287"/>
      <c r="AR67" s="287"/>
      <c r="AS67" s="285"/>
      <c r="AT67" s="95"/>
      <c r="AU67" s="96">
        <f>SUM(AM67:AS67)</f>
        <v>0</v>
      </c>
      <c r="AV67" s="97">
        <f>IF(C67=2015, AU67/3,AU67)+AT67</f>
        <v>0</v>
      </c>
    </row>
    <row r="68" spans="1:48" x14ac:dyDescent="0.25">
      <c r="A68" s="11" t="s">
        <v>1042</v>
      </c>
      <c r="B68" s="60" t="s">
        <v>86</v>
      </c>
      <c r="C68" s="62">
        <v>2014</v>
      </c>
      <c r="D68" s="1">
        <f t="shared" si="11"/>
        <v>53</v>
      </c>
      <c r="E68" s="287"/>
      <c r="F68" s="287"/>
      <c r="I68" s="287"/>
      <c r="J68" s="287"/>
      <c r="K68" s="287"/>
      <c r="L68" s="287">
        <f>42</f>
        <v>42</v>
      </c>
      <c r="M68" s="287"/>
      <c r="N68" s="267">
        <f t="shared" si="12"/>
        <v>11</v>
      </c>
      <c r="P68" s="96">
        <f t="shared" si="25"/>
        <v>53</v>
      </c>
      <c r="Q68" s="97">
        <f t="shared" si="14"/>
        <v>53</v>
      </c>
      <c r="R68" s="287"/>
      <c r="S68" s="287">
        <f>11</f>
        <v>11</v>
      </c>
      <c r="T68" s="287"/>
      <c r="U68" s="287"/>
      <c r="V68" s="287"/>
      <c r="W68" s="287"/>
      <c r="X68" s="287"/>
      <c r="Y68" s="215">
        <f t="shared" si="26"/>
        <v>0</v>
      </c>
      <c r="Z68" s="152"/>
      <c r="AA68" s="96">
        <f t="shared" si="27"/>
        <v>11</v>
      </c>
      <c r="AB68" s="97">
        <f t="shared" si="28"/>
        <v>11</v>
      </c>
      <c r="AE68" s="187"/>
      <c r="AF68" s="187"/>
      <c r="AG68" s="187"/>
      <c r="AH68" s="187"/>
      <c r="AI68" s="120"/>
      <c r="AJ68" s="96">
        <f t="shared" si="29"/>
        <v>0</v>
      </c>
      <c r="AK68" s="97">
        <f t="shared" si="30"/>
        <v>0</v>
      </c>
      <c r="AL68" s="22"/>
      <c r="AM68" s="151"/>
      <c r="AN68" s="151"/>
      <c r="AO68" s="151"/>
      <c r="AP68" s="151"/>
      <c r="AQ68" s="151"/>
      <c r="AR68" s="151"/>
      <c r="AS68" s="13"/>
      <c r="AT68" s="95"/>
      <c r="AU68" s="96"/>
      <c r="AV68" s="97"/>
    </row>
    <row r="69" spans="1:48" x14ac:dyDescent="0.25">
      <c r="A69" s="11" t="s">
        <v>828</v>
      </c>
      <c r="B69" s="60" t="s">
        <v>476</v>
      </c>
      <c r="C69" s="62">
        <v>2015</v>
      </c>
      <c r="D69" s="1">
        <f t="shared" si="11"/>
        <v>19</v>
      </c>
      <c r="H69" s="280"/>
      <c r="L69" s="231"/>
      <c r="M69" s="231"/>
      <c r="N69" s="267">
        <f t="shared" si="12"/>
        <v>19</v>
      </c>
      <c r="P69" s="96">
        <f t="shared" si="25"/>
        <v>19</v>
      </c>
      <c r="Q69" s="97">
        <f t="shared" si="14"/>
        <v>19</v>
      </c>
      <c r="R69" s="231"/>
      <c r="S69" s="231"/>
      <c r="T69" s="231"/>
      <c r="U69" s="231"/>
      <c r="V69" s="231"/>
      <c r="W69" s="231">
        <f>18+1</f>
        <v>19</v>
      </c>
      <c r="X69" s="231"/>
      <c r="Y69" s="215">
        <f t="shared" si="26"/>
        <v>0</v>
      </c>
      <c r="Z69" s="152"/>
      <c r="AA69" s="96">
        <f t="shared" si="27"/>
        <v>19</v>
      </c>
      <c r="AB69" s="97">
        <f t="shared" si="28"/>
        <v>19</v>
      </c>
      <c r="AC69" s="263"/>
      <c r="AD69" s="263"/>
      <c r="AE69" s="172"/>
      <c r="AF69" s="172"/>
      <c r="AG69" s="172"/>
      <c r="AH69" s="172"/>
      <c r="AI69" s="120"/>
      <c r="AJ69" s="96">
        <f t="shared" si="29"/>
        <v>0</v>
      </c>
      <c r="AK69" s="97">
        <f t="shared" si="30"/>
        <v>0</v>
      </c>
      <c r="AL69" s="22"/>
      <c r="AM69" s="151"/>
      <c r="AN69" s="151"/>
      <c r="AO69" s="151"/>
      <c r="AP69" s="151"/>
      <c r="AQ69" s="151"/>
      <c r="AR69" s="151"/>
      <c r="AS69" s="13"/>
      <c r="AT69" s="95"/>
      <c r="AU69" s="96"/>
      <c r="AV69" s="97"/>
    </row>
    <row r="70" spans="1:48" x14ac:dyDescent="0.25">
      <c r="A70" s="11" t="s">
        <v>124</v>
      </c>
      <c r="B70" s="60" t="s">
        <v>64</v>
      </c>
      <c r="C70" s="62"/>
      <c r="D70" s="1">
        <f t="shared" si="11"/>
        <v>20</v>
      </c>
      <c r="H70" s="280"/>
      <c r="J70" s="256"/>
      <c r="K70" s="256"/>
      <c r="L70" s="256"/>
      <c r="M70" s="256"/>
      <c r="N70" s="267">
        <f t="shared" si="12"/>
        <v>20</v>
      </c>
      <c r="P70" s="96">
        <f t="shared" si="25"/>
        <v>20</v>
      </c>
      <c r="Q70" s="97">
        <f t="shared" si="14"/>
        <v>20</v>
      </c>
      <c r="R70" s="256"/>
      <c r="S70" s="256"/>
      <c r="T70" s="256"/>
      <c r="U70" s="256"/>
      <c r="V70" s="256"/>
      <c r="W70" s="256"/>
      <c r="X70" s="256"/>
      <c r="Y70" s="215">
        <f t="shared" si="26"/>
        <v>20</v>
      </c>
      <c r="Z70" s="120"/>
      <c r="AA70" s="96">
        <f t="shared" si="27"/>
        <v>20</v>
      </c>
      <c r="AB70" s="97">
        <f t="shared" si="28"/>
        <v>20</v>
      </c>
      <c r="AC70" s="263"/>
      <c r="AD70" s="263"/>
      <c r="AE70" s="201"/>
      <c r="AF70" s="201"/>
      <c r="AG70" s="201"/>
      <c r="AH70" s="201">
        <f>AV70</f>
        <v>20</v>
      </c>
      <c r="AI70" s="120"/>
      <c r="AJ70" s="96">
        <f t="shared" si="29"/>
        <v>20</v>
      </c>
      <c r="AK70" s="97">
        <f t="shared" si="30"/>
        <v>20</v>
      </c>
      <c r="AL70" s="22"/>
      <c r="AM70" s="41"/>
      <c r="AN70" s="41">
        <v>20</v>
      </c>
      <c r="AO70" s="41"/>
      <c r="AP70" s="41"/>
      <c r="AQ70" s="41"/>
      <c r="AR70" s="41"/>
      <c r="AS70" s="13"/>
      <c r="AT70" s="95"/>
      <c r="AU70" s="96">
        <f>SUM(AM70:AS70)</f>
        <v>20</v>
      </c>
      <c r="AV70" s="97">
        <f>IF(C70=2015, AU70/3,AU70)+AT70</f>
        <v>20</v>
      </c>
    </row>
    <row r="71" spans="1:48" x14ac:dyDescent="0.25">
      <c r="A71" s="11" t="s">
        <v>1116</v>
      </c>
      <c r="B71" s="60" t="s">
        <v>476</v>
      </c>
      <c r="C71" s="62">
        <v>2015</v>
      </c>
      <c r="D71" s="1">
        <f t="shared" si="11"/>
        <v>0</v>
      </c>
      <c r="E71" s="287"/>
      <c r="F71" s="287"/>
      <c r="I71" s="287"/>
      <c r="J71" s="287"/>
      <c r="K71" s="287"/>
      <c r="L71" s="287">
        <f>0</f>
        <v>0</v>
      </c>
      <c r="M71" s="287"/>
      <c r="N71" s="267">
        <f t="shared" si="12"/>
        <v>0</v>
      </c>
      <c r="P71" s="96">
        <f t="shared" si="25"/>
        <v>0</v>
      </c>
      <c r="Q71" s="97">
        <f t="shared" si="14"/>
        <v>0</v>
      </c>
      <c r="R71" s="287"/>
      <c r="S71" s="287"/>
      <c r="T71" s="287"/>
      <c r="U71" s="287"/>
      <c r="V71" s="287"/>
      <c r="W71" s="287"/>
      <c r="X71" s="287"/>
      <c r="Z71" s="152"/>
      <c r="AA71" s="96"/>
      <c r="AB71" s="97"/>
      <c r="AE71" s="287"/>
      <c r="AF71" s="287"/>
      <c r="AG71" s="287"/>
      <c r="AH71" s="287"/>
      <c r="AI71" s="120"/>
      <c r="AJ71" s="96"/>
      <c r="AK71" s="97"/>
      <c r="AL71" s="22"/>
      <c r="AM71" s="151"/>
      <c r="AN71" s="151"/>
      <c r="AO71" s="151"/>
      <c r="AP71" s="151"/>
      <c r="AQ71" s="151"/>
      <c r="AR71" s="151"/>
      <c r="AS71" s="13"/>
      <c r="AT71" s="95"/>
      <c r="AU71" s="96"/>
      <c r="AV71" s="97"/>
    </row>
    <row r="72" spans="1:48" x14ac:dyDescent="0.25">
      <c r="A72" s="11" t="s">
        <v>448</v>
      </c>
      <c r="B72" s="11" t="s">
        <v>63</v>
      </c>
      <c r="C72" s="3">
        <v>2017</v>
      </c>
      <c r="D72" s="1">
        <f t="shared" si="11"/>
        <v>0</v>
      </c>
      <c r="E72" s="108"/>
      <c r="F72" s="108"/>
      <c r="H72" s="101"/>
      <c r="I72" s="108"/>
      <c r="J72" s="108"/>
      <c r="K72" s="108"/>
      <c r="L72" s="108"/>
      <c r="M72" s="108"/>
      <c r="N72" s="267">
        <f t="shared" si="12"/>
        <v>0</v>
      </c>
      <c r="P72" s="96">
        <f t="shared" si="25"/>
        <v>0</v>
      </c>
      <c r="Q72" s="97">
        <f t="shared" si="14"/>
        <v>0</v>
      </c>
      <c r="R72" s="108"/>
      <c r="S72" s="108"/>
      <c r="T72" s="108"/>
      <c r="U72" s="108"/>
      <c r="V72" s="108"/>
      <c r="W72" s="108"/>
      <c r="X72" s="108"/>
      <c r="Y72" s="215">
        <f>AK72</f>
        <v>0</v>
      </c>
      <c r="Z72" s="122"/>
      <c r="AA72" s="96">
        <f>AM72+S72+T72+U72+V72+W72+X72+Y72</f>
        <v>0</v>
      </c>
      <c r="AB72" s="97">
        <f>IF(C72=2017, AA72/3,AA72)+Z72</f>
        <v>0</v>
      </c>
      <c r="AC72" s="101"/>
      <c r="AD72" s="108"/>
      <c r="AE72" s="108"/>
      <c r="AF72" s="108"/>
      <c r="AG72" s="108"/>
      <c r="AH72" s="108">
        <f>AV72</f>
        <v>0</v>
      </c>
      <c r="AI72" s="122"/>
      <c r="AJ72" s="96">
        <f>SUM(AE72:AH72)</f>
        <v>0</v>
      </c>
      <c r="AK72" s="97">
        <f>IF(C72=2016, AJ72/3,AJ72)+AI72</f>
        <v>0</v>
      </c>
      <c r="AL72" s="101"/>
      <c r="AM72" s="41"/>
      <c r="AN72" s="41"/>
      <c r="AO72" s="41"/>
      <c r="AP72" s="41"/>
      <c r="AQ72" s="41">
        <f>0</f>
        <v>0</v>
      </c>
      <c r="AR72" s="41"/>
      <c r="AS72" s="41"/>
      <c r="AU72" s="3">
        <f>SUM(AM72:AT72)</f>
        <v>0</v>
      </c>
      <c r="AV72" s="3">
        <f>AU72</f>
        <v>0</v>
      </c>
    </row>
    <row r="73" spans="1:48" x14ac:dyDescent="0.25">
      <c r="A73" s="11" t="s">
        <v>1029</v>
      </c>
      <c r="B73" s="60" t="s">
        <v>86</v>
      </c>
      <c r="C73" s="62">
        <v>2015</v>
      </c>
      <c r="D73" s="1">
        <f t="shared" si="11"/>
        <v>0</v>
      </c>
      <c r="E73" s="287"/>
      <c r="F73" s="287"/>
      <c r="I73" s="287"/>
      <c r="J73" s="287"/>
      <c r="K73" s="287"/>
      <c r="L73" s="287">
        <f>0</f>
        <v>0</v>
      </c>
      <c r="M73" s="287"/>
      <c r="N73" s="267">
        <f t="shared" si="12"/>
        <v>0</v>
      </c>
      <c r="P73" s="96">
        <f t="shared" si="25"/>
        <v>0</v>
      </c>
      <c r="Q73" s="97">
        <f t="shared" si="14"/>
        <v>0</v>
      </c>
      <c r="R73" s="287"/>
      <c r="S73" s="287">
        <f>0</f>
        <v>0</v>
      </c>
      <c r="T73" s="287"/>
      <c r="U73" s="287"/>
      <c r="V73" s="287"/>
      <c r="W73" s="287"/>
      <c r="X73" s="287"/>
      <c r="Y73" s="215">
        <f>AK73</f>
        <v>0</v>
      </c>
      <c r="Z73" s="152"/>
      <c r="AA73" s="96">
        <f>AM73+S73+T73+U73+V73+W73+X73+Y73</f>
        <v>0</v>
      </c>
      <c r="AB73" s="97">
        <f>IF(C73=2017, AA73/3,AA73)+Z73</f>
        <v>0</v>
      </c>
      <c r="AE73" s="201"/>
      <c r="AF73" s="201"/>
      <c r="AG73" s="201"/>
      <c r="AH73" s="201"/>
      <c r="AI73" s="120"/>
      <c r="AJ73" s="96">
        <f>SUM(AE73:AH73)</f>
        <v>0</v>
      </c>
      <c r="AK73" s="97">
        <f>IF(C73=2016, AJ73/3,AJ73)+AI73</f>
        <v>0</v>
      </c>
      <c r="AL73" s="22"/>
      <c r="AM73" s="151"/>
      <c r="AN73" s="151"/>
      <c r="AO73" s="151"/>
      <c r="AP73" s="151"/>
      <c r="AQ73" s="151"/>
      <c r="AR73" s="151"/>
      <c r="AS73" s="13"/>
      <c r="AT73" s="95"/>
      <c r="AU73" s="96"/>
      <c r="AV73" s="97"/>
    </row>
    <row r="74" spans="1:48" x14ac:dyDescent="0.25">
      <c r="A74" s="11" t="s">
        <v>423</v>
      </c>
      <c r="B74" s="11" t="s">
        <v>0</v>
      </c>
      <c r="C74" s="3">
        <v>2016</v>
      </c>
      <c r="D74" s="1">
        <f t="shared" si="11"/>
        <v>90.666666666666671</v>
      </c>
      <c r="E74" s="154"/>
      <c r="F74" s="154"/>
      <c r="H74" s="290"/>
      <c r="I74" s="154">
        <f>0</f>
        <v>0</v>
      </c>
      <c r="J74" s="154">
        <f>18</f>
        <v>18</v>
      </c>
      <c r="K74" s="154">
        <f>32</f>
        <v>32</v>
      </c>
      <c r="L74" s="154"/>
      <c r="M74" s="154"/>
      <c r="N74" s="267">
        <f t="shared" si="12"/>
        <v>40.666666666666671</v>
      </c>
      <c r="P74" s="96">
        <f t="shared" si="25"/>
        <v>90.666666666666671</v>
      </c>
      <c r="Q74" s="97">
        <f t="shared" si="14"/>
        <v>90.666666666666671</v>
      </c>
      <c r="R74" s="154"/>
      <c r="S74" s="154">
        <f>0</f>
        <v>0</v>
      </c>
      <c r="T74" s="154">
        <f>0+10</f>
        <v>10</v>
      </c>
      <c r="U74" s="154">
        <f>0+2</f>
        <v>2</v>
      </c>
      <c r="V74" s="154"/>
      <c r="W74" s="154"/>
      <c r="X74" s="154"/>
      <c r="Y74" s="215">
        <f>AK74</f>
        <v>28.666666666666668</v>
      </c>
      <c r="Z74" s="122"/>
      <c r="AA74" s="96">
        <f>AM74+S74+T74+U74+V74+W74+X74+Y74</f>
        <v>40.666666666666671</v>
      </c>
      <c r="AB74" s="97">
        <f>IF(C74=2017, AA74/3,AA74)+Z74</f>
        <v>40.666666666666671</v>
      </c>
      <c r="AC74" s="290"/>
      <c r="AD74" s="290"/>
      <c r="AE74" s="108">
        <f>24+6</f>
        <v>30</v>
      </c>
      <c r="AF74" s="108">
        <f>27+12</f>
        <v>39</v>
      </c>
      <c r="AG74" s="108">
        <f>6</f>
        <v>6</v>
      </c>
      <c r="AH74" s="108">
        <f>AV74</f>
        <v>11</v>
      </c>
      <c r="AI74" s="122"/>
      <c r="AJ74" s="96">
        <f>SUM(AE74:AH74)</f>
        <v>86</v>
      </c>
      <c r="AK74" s="97">
        <f>IF(C74=2016, AJ74/3,AJ74)+AI74</f>
        <v>28.666666666666668</v>
      </c>
      <c r="AL74" s="101"/>
      <c r="AM74" s="41"/>
      <c r="AN74" s="41"/>
      <c r="AO74" s="41"/>
      <c r="AP74" s="41"/>
      <c r="AQ74" s="41">
        <f>11</f>
        <v>11</v>
      </c>
      <c r="AR74" s="41"/>
      <c r="AS74" s="41"/>
      <c r="AU74" s="96">
        <f>SUM(AM74:AS74)</f>
        <v>11</v>
      </c>
      <c r="AV74" s="97">
        <f>IF(C74=2015, AU74/3,AU74)+AT74</f>
        <v>11</v>
      </c>
    </row>
    <row r="75" spans="1:48" x14ac:dyDescent="0.25">
      <c r="A75" s="11" t="s">
        <v>1230</v>
      </c>
      <c r="B75" s="60" t="s">
        <v>86</v>
      </c>
      <c r="C75" s="62">
        <v>2017</v>
      </c>
      <c r="D75" s="1">
        <f t="shared" si="11"/>
        <v>25</v>
      </c>
      <c r="E75" s="287">
        <f>10+8</f>
        <v>18</v>
      </c>
      <c r="F75" s="287"/>
      <c r="I75" s="287">
        <f>7</f>
        <v>7</v>
      </c>
      <c r="J75" s="287"/>
      <c r="K75" s="287">
        <f>0</f>
        <v>0</v>
      </c>
      <c r="L75" s="287"/>
      <c r="M75" s="287"/>
      <c r="N75" s="267">
        <f t="shared" si="12"/>
        <v>0</v>
      </c>
      <c r="P75" s="96">
        <f t="shared" si="25"/>
        <v>7</v>
      </c>
      <c r="Q75" s="97">
        <f t="shared" si="14"/>
        <v>7</v>
      </c>
      <c r="R75" s="287"/>
      <c r="S75" s="287"/>
      <c r="T75" s="287"/>
      <c r="U75" s="287"/>
      <c r="V75" s="287"/>
      <c r="W75" s="287"/>
      <c r="X75" s="287"/>
      <c r="Z75" s="152"/>
      <c r="AA75" s="96"/>
      <c r="AB75" s="97"/>
      <c r="AE75" s="287"/>
      <c r="AF75" s="287"/>
      <c r="AG75" s="287"/>
      <c r="AH75" s="287"/>
      <c r="AI75" s="120"/>
      <c r="AJ75" s="96"/>
      <c r="AK75" s="97"/>
      <c r="AL75" s="22"/>
      <c r="AM75" s="151"/>
      <c r="AN75" s="151"/>
      <c r="AO75" s="151"/>
      <c r="AP75" s="151"/>
      <c r="AQ75" s="151"/>
      <c r="AR75" s="151"/>
      <c r="AS75" s="13"/>
      <c r="AT75" s="95"/>
      <c r="AU75" s="96"/>
      <c r="AV75" s="97"/>
    </row>
    <row r="76" spans="1:48" x14ac:dyDescent="0.25">
      <c r="A76" s="11" t="s">
        <v>1134</v>
      </c>
      <c r="B76" s="60" t="s">
        <v>86</v>
      </c>
      <c r="C76" s="62">
        <v>2016</v>
      </c>
      <c r="D76" s="1">
        <f t="shared" si="11"/>
        <v>8</v>
      </c>
      <c r="J76" s="261"/>
      <c r="K76" s="261"/>
      <c r="L76" s="261">
        <f>8</f>
        <v>8</v>
      </c>
      <c r="M76" s="261"/>
      <c r="N76" s="267">
        <f t="shared" si="12"/>
        <v>0</v>
      </c>
      <c r="P76" s="96">
        <f t="shared" si="25"/>
        <v>8</v>
      </c>
      <c r="Q76" s="97">
        <f t="shared" si="14"/>
        <v>8</v>
      </c>
      <c r="R76" s="261"/>
      <c r="S76" s="261"/>
      <c r="T76" s="261"/>
      <c r="U76" s="261"/>
      <c r="V76" s="261"/>
      <c r="W76" s="261"/>
      <c r="X76" s="261"/>
      <c r="Z76" s="152"/>
      <c r="AA76" s="96"/>
      <c r="AB76" s="97"/>
      <c r="AI76" s="120"/>
      <c r="AJ76" s="96"/>
      <c r="AK76" s="97"/>
      <c r="AL76" s="22"/>
      <c r="AM76" s="151"/>
      <c r="AN76" s="151"/>
      <c r="AO76" s="151"/>
      <c r="AP76" s="151"/>
      <c r="AQ76" s="151"/>
      <c r="AR76" s="151"/>
      <c r="AS76" s="13"/>
      <c r="AT76" s="95"/>
      <c r="AU76" s="96"/>
      <c r="AV76" s="97"/>
    </row>
    <row r="77" spans="1:48" x14ac:dyDescent="0.25">
      <c r="A77" s="11" t="s">
        <v>293</v>
      </c>
      <c r="B77" s="11" t="s">
        <v>231</v>
      </c>
      <c r="C77" s="3">
        <v>2015</v>
      </c>
      <c r="D77" s="1">
        <f t="shared" si="11"/>
        <v>16</v>
      </c>
      <c r="H77" s="290"/>
      <c r="N77" s="267">
        <f t="shared" si="12"/>
        <v>16</v>
      </c>
      <c r="P77" s="96">
        <f t="shared" si="25"/>
        <v>16</v>
      </c>
      <c r="Q77" s="97">
        <f t="shared" si="14"/>
        <v>16</v>
      </c>
      <c r="S77" s="215"/>
      <c r="T77" s="215"/>
      <c r="U77" s="215"/>
      <c r="V77" s="215"/>
      <c r="W77" s="215"/>
      <c r="X77" s="215"/>
      <c r="Y77" s="215">
        <f>AK77</f>
        <v>16</v>
      </c>
      <c r="Z77" s="120"/>
      <c r="AA77" s="96">
        <f>AM77+S77+T77+U77+V77+W77+X77+Y77</f>
        <v>16</v>
      </c>
      <c r="AB77" s="97">
        <f>IF(C77=2017, AA77/3,AA77)+Z77</f>
        <v>16</v>
      </c>
      <c r="AC77" s="290"/>
      <c r="AD77" s="290"/>
      <c r="AE77" s="215"/>
      <c r="AF77" s="215"/>
      <c r="AG77" s="215"/>
      <c r="AH77" s="215">
        <f>AV77</f>
        <v>16</v>
      </c>
      <c r="AI77" s="120"/>
      <c r="AJ77" s="96">
        <f>SUM(AE77:AH77)</f>
        <v>16</v>
      </c>
      <c r="AK77" s="97">
        <f>IF(C77=2016, AJ77/3,AJ77)+AI77</f>
        <v>16</v>
      </c>
      <c r="AL77" s="101"/>
      <c r="AM77" s="41"/>
      <c r="AN77" s="41"/>
      <c r="AO77" s="41"/>
      <c r="AP77" s="41">
        <f>48</f>
        <v>48</v>
      </c>
      <c r="AQ77" s="41"/>
      <c r="AR77" s="41"/>
      <c r="AS77" s="41"/>
      <c r="AT77" s="95"/>
      <c r="AU77" s="96">
        <f>SUM(AM77:AS77)</f>
        <v>48</v>
      </c>
      <c r="AV77" s="97">
        <f>IF(C77=2015, AU77/3,AU77)+AT77</f>
        <v>16</v>
      </c>
    </row>
    <row r="78" spans="1:48" x14ac:dyDescent="0.25">
      <c r="A78" s="11" t="s">
        <v>626</v>
      </c>
      <c r="B78" s="11" t="s">
        <v>598</v>
      </c>
      <c r="D78" s="1">
        <f t="shared" si="11"/>
        <v>21</v>
      </c>
      <c r="E78" s="154"/>
      <c r="F78" s="154"/>
      <c r="H78" s="280"/>
      <c r="I78" s="154"/>
      <c r="J78" s="154"/>
      <c r="K78" s="154"/>
      <c r="L78" s="154"/>
      <c r="M78" s="154"/>
      <c r="N78" s="267">
        <f t="shared" si="12"/>
        <v>21</v>
      </c>
      <c r="P78" s="96">
        <f t="shared" si="25"/>
        <v>21</v>
      </c>
      <c r="Q78" s="97">
        <f t="shared" si="14"/>
        <v>21</v>
      </c>
      <c r="R78" s="154"/>
      <c r="S78" s="154"/>
      <c r="T78" s="154"/>
      <c r="U78" s="154"/>
      <c r="V78" s="154"/>
      <c r="W78" s="154"/>
      <c r="X78" s="154"/>
      <c r="Y78" s="215">
        <f>AK78</f>
        <v>21</v>
      </c>
      <c r="Z78" s="152"/>
      <c r="AA78" s="96">
        <f>AM78+S78+T78+U78+V78+W78+X78+Y78</f>
        <v>21</v>
      </c>
      <c r="AB78" s="97">
        <f>IF(C78=2017, AA78/3,AA78)+Z78</f>
        <v>21</v>
      </c>
      <c r="AC78" s="205"/>
      <c r="AD78" s="205"/>
      <c r="AF78" s="50">
        <f>21</f>
        <v>21</v>
      </c>
      <c r="AI78" s="120"/>
      <c r="AJ78" s="96">
        <f>SUM(AE78:AH78)</f>
        <v>21</v>
      </c>
      <c r="AK78" s="97">
        <f>IF(C78=2016, AJ78/3,AJ78)+AI78</f>
        <v>21</v>
      </c>
      <c r="AL78" s="101"/>
      <c r="AM78" s="151"/>
      <c r="AN78" s="151"/>
      <c r="AO78" s="151"/>
      <c r="AP78" s="151"/>
      <c r="AQ78" s="151"/>
      <c r="AR78" s="151"/>
      <c r="AS78" s="151"/>
      <c r="AT78" s="95"/>
      <c r="AU78" s="96">
        <f>SUM(AM78:AS78)</f>
        <v>0</v>
      </c>
      <c r="AV78" s="97">
        <f>IF(C78=2015, AU78/3,AU78)+AT78</f>
        <v>0</v>
      </c>
    </row>
    <row r="79" spans="1:48" x14ac:dyDescent="0.25">
      <c r="A79" s="11" t="s">
        <v>1119</v>
      </c>
      <c r="B79" s="60" t="s">
        <v>1088</v>
      </c>
      <c r="C79" s="62">
        <v>2014</v>
      </c>
      <c r="D79" s="1">
        <f t="shared" si="11"/>
        <v>15</v>
      </c>
      <c r="E79" s="287"/>
      <c r="F79" s="287"/>
      <c r="I79" s="287"/>
      <c r="J79" s="287"/>
      <c r="K79" s="287"/>
      <c r="L79" s="287">
        <f>15</f>
        <v>15</v>
      </c>
      <c r="M79" s="287"/>
      <c r="N79" s="267">
        <f t="shared" si="12"/>
        <v>0</v>
      </c>
      <c r="P79" s="96">
        <f t="shared" si="25"/>
        <v>15</v>
      </c>
      <c r="Q79" s="97">
        <f t="shared" si="14"/>
        <v>15</v>
      </c>
      <c r="R79" s="287"/>
      <c r="S79" s="287"/>
      <c r="T79" s="287"/>
      <c r="U79" s="287"/>
      <c r="V79" s="287"/>
      <c r="W79" s="287"/>
      <c r="X79" s="287"/>
      <c r="Z79" s="152"/>
      <c r="AA79" s="96"/>
      <c r="AB79" s="97"/>
      <c r="AE79" s="231"/>
      <c r="AF79" s="231"/>
      <c r="AG79" s="231"/>
      <c r="AH79" s="231"/>
      <c r="AI79" s="120"/>
      <c r="AJ79" s="96"/>
      <c r="AK79" s="97"/>
      <c r="AL79" s="22"/>
      <c r="AM79" s="151"/>
      <c r="AN79" s="151"/>
      <c r="AO79" s="151"/>
      <c r="AP79" s="151"/>
      <c r="AQ79" s="151"/>
      <c r="AR79" s="151"/>
      <c r="AS79" s="13"/>
      <c r="AT79" s="95"/>
      <c r="AU79" s="96"/>
      <c r="AV79" s="97"/>
    </row>
    <row r="80" spans="1:48" x14ac:dyDescent="0.25">
      <c r="A80" s="11" t="s">
        <v>311</v>
      </c>
      <c r="B80" s="60" t="s">
        <v>0</v>
      </c>
      <c r="C80" s="62">
        <v>2014</v>
      </c>
      <c r="D80" s="1">
        <f t="shared" si="11"/>
        <v>26</v>
      </c>
      <c r="H80" s="290"/>
      <c r="I80" s="261">
        <f>0</f>
        <v>0</v>
      </c>
      <c r="J80" s="261"/>
      <c r="K80" s="261"/>
      <c r="L80" s="261"/>
      <c r="M80" s="261"/>
      <c r="N80" s="267">
        <f t="shared" si="12"/>
        <v>26</v>
      </c>
      <c r="P80" s="96">
        <f t="shared" si="25"/>
        <v>26</v>
      </c>
      <c r="Q80" s="97">
        <f t="shared" si="14"/>
        <v>26</v>
      </c>
      <c r="R80" s="261"/>
      <c r="S80" s="261"/>
      <c r="T80" s="261"/>
      <c r="U80" s="261"/>
      <c r="V80" s="261"/>
      <c r="W80" s="261"/>
      <c r="X80" s="261"/>
      <c r="Y80" s="215">
        <f>AK80</f>
        <v>26</v>
      </c>
      <c r="Z80" s="120"/>
      <c r="AA80" s="96">
        <f>AM80+S80+T80+U80+V80+W80+X80+Y80</f>
        <v>26</v>
      </c>
      <c r="AB80" s="97">
        <f>IF(C80=2017, AA80/3,AA80)+Z80</f>
        <v>26</v>
      </c>
      <c r="AC80" s="290"/>
      <c r="AD80" s="290"/>
      <c r="AE80" s="231">
        <f>8</f>
        <v>8</v>
      </c>
      <c r="AF80" s="231"/>
      <c r="AG80" s="231"/>
      <c r="AH80" s="231">
        <f>AV80</f>
        <v>18</v>
      </c>
      <c r="AI80" s="120"/>
      <c r="AJ80" s="96">
        <f>SUM(AE80:AH80)</f>
        <v>26</v>
      </c>
      <c r="AK80" s="97">
        <f>IF(C80=2016, AJ80/3,AJ80)+AI80</f>
        <v>26</v>
      </c>
      <c r="AL80" s="22"/>
      <c r="AM80" s="41"/>
      <c r="AN80" s="41"/>
      <c r="AO80" s="41"/>
      <c r="AP80" s="41">
        <f>16</f>
        <v>16</v>
      </c>
      <c r="AQ80" s="41">
        <f>0</f>
        <v>0</v>
      </c>
      <c r="AR80" s="41">
        <f>2</f>
        <v>2</v>
      </c>
      <c r="AS80" s="13"/>
      <c r="AT80" s="95"/>
      <c r="AU80" s="96">
        <f>SUM(AM80:AS80)</f>
        <v>18</v>
      </c>
      <c r="AV80" s="97">
        <f>IF(C80=2015, AU80/3,AU80)+AT80</f>
        <v>18</v>
      </c>
    </row>
    <row r="81" spans="1:48" x14ac:dyDescent="0.25">
      <c r="A81" s="11" t="s">
        <v>416</v>
      </c>
      <c r="B81" s="60" t="s">
        <v>63</v>
      </c>
      <c r="C81" s="62">
        <v>2014</v>
      </c>
      <c r="D81" s="1">
        <f t="shared" si="11"/>
        <v>0</v>
      </c>
      <c r="E81" s="287"/>
      <c r="F81" s="287"/>
      <c r="H81" s="290"/>
      <c r="I81" s="287"/>
      <c r="J81" s="287"/>
      <c r="K81" s="287"/>
      <c r="L81" s="287"/>
      <c r="M81" s="287"/>
      <c r="N81" s="267">
        <f t="shared" si="12"/>
        <v>0</v>
      </c>
      <c r="P81" s="96">
        <f t="shared" si="25"/>
        <v>0</v>
      </c>
      <c r="Q81" s="97">
        <f t="shared" si="14"/>
        <v>0</v>
      </c>
      <c r="R81" s="287"/>
      <c r="S81" s="287"/>
      <c r="T81" s="287"/>
      <c r="U81" s="287"/>
      <c r="V81" s="287"/>
      <c r="W81" s="287"/>
      <c r="X81" s="287"/>
      <c r="Y81" s="215">
        <f>AK81</f>
        <v>0</v>
      </c>
      <c r="Z81" s="120"/>
      <c r="AA81" s="96">
        <f>AM81+S81+T81+U81+V81+W81+X81+Y81</f>
        <v>0</v>
      </c>
      <c r="AB81" s="97">
        <f>IF(C81=2017, AA81/3,AA81)+Z81</f>
        <v>0</v>
      </c>
      <c r="AC81" s="290"/>
      <c r="AD81" s="290"/>
      <c r="AE81" s="215"/>
      <c r="AF81" s="215"/>
      <c r="AG81" s="215"/>
      <c r="AH81" s="215">
        <f>AV81</f>
        <v>0</v>
      </c>
      <c r="AI81" s="120"/>
      <c r="AJ81" s="96">
        <f>SUM(AE81:AH81)</f>
        <v>0</v>
      </c>
      <c r="AK81" s="97">
        <f>IF(C81=2016, AJ81/3,AJ81)+AI81</f>
        <v>0</v>
      </c>
      <c r="AL81" s="22"/>
      <c r="AM81" s="41"/>
      <c r="AN81" s="41"/>
      <c r="AO81" s="41"/>
      <c r="AP81" s="41"/>
      <c r="AQ81" s="41">
        <f>0</f>
        <v>0</v>
      </c>
      <c r="AR81" s="41"/>
      <c r="AS81" s="13"/>
      <c r="AT81" s="95"/>
      <c r="AU81" s="96">
        <f>SUM(AM81:AS81)</f>
        <v>0</v>
      </c>
      <c r="AV81" s="97">
        <f>IF(C81=2015, AU81/3,AU81)+AT81</f>
        <v>0</v>
      </c>
    </row>
    <row r="82" spans="1:48" x14ac:dyDescent="0.25">
      <c r="A82" s="11" t="s">
        <v>428</v>
      </c>
      <c r="B82" s="11" t="s">
        <v>36</v>
      </c>
      <c r="C82" s="3">
        <v>2016</v>
      </c>
      <c r="D82" s="1">
        <f t="shared" si="11"/>
        <v>7</v>
      </c>
      <c r="E82" s="154"/>
      <c r="F82" s="154"/>
      <c r="H82" s="290"/>
      <c r="I82" s="154"/>
      <c r="J82" s="154"/>
      <c r="K82" s="154"/>
      <c r="L82" s="154"/>
      <c r="M82" s="154"/>
      <c r="N82" s="267">
        <f t="shared" si="12"/>
        <v>7</v>
      </c>
      <c r="P82" s="96">
        <f t="shared" si="25"/>
        <v>7</v>
      </c>
      <c r="Q82" s="97">
        <f t="shared" si="14"/>
        <v>7</v>
      </c>
      <c r="R82" s="154"/>
      <c r="S82" s="154"/>
      <c r="T82" s="154"/>
      <c r="U82" s="154"/>
      <c r="V82" s="154"/>
      <c r="W82" s="154"/>
      <c r="X82" s="154"/>
      <c r="Y82" s="215">
        <f>AK82</f>
        <v>7</v>
      </c>
      <c r="Z82" s="122"/>
      <c r="AA82" s="96">
        <f>AM82+S82+T82+U82+V82+W82+X82+Y82</f>
        <v>7</v>
      </c>
      <c r="AB82" s="97">
        <f>IF(C82=2017, AA82/3,AA82)+Z82</f>
        <v>7</v>
      </c>
      <c r="AC82" s="290"/>
      <c r="AD82" s="290"/>
      <c r="AE82" s="108">
        <f>0</f>
        <v>0</v>
      </c>
      <c r="AF82" s="108">
        <f>12</f>
        <v>12</v>
      </c>
      <c r="AG82" s="108">
        <f>0</f>
        <v>0</v>
      </c>
      <c r="AH82" s="108">
        <f>AV82</f>
        <v>9</v>
      </c>
      <c r="AI82" s="122"/>
      <c r="AJ82" s="96">
        <f>SUM(AE82:AH82)</f>
        <v>21</v>
      </c>
      <c r="AK82" s="97">
        <f>IF(C82=2016, AJ82/3,AJ82)+AI82</f>
        <v>7</v>
      </c>
      <c r="AL82" s="101"/>
      <c r="AM82" s="41"/>
      <c r="AN82" s="41"/>
      <c r="AO82" s="41"/>
      <c r="AP82" s="41"/>
      <c r="AQ82" s="41">
        <f>6</f>
        <v>6</v>
      </c>
      <c r="AR82" s="41">
        <f>3</f>
        <v>3</v>
      </c>
      <c r="AS82" s="41"/>
      <c r="AT82" s="189"/>
      <c r="AU82" s="96">
        <f>SUM(AM82:AS82)</f>
        <v>9</v>
      </c>
      <c r="AV82" s="97">
        <f>IF(C82=2015, AU82/3,AU82)+AT82</f>
        <v>9</v>
      </c>
    </row>
    <row r="83" spans="1:48" x14ac:dyDescent="0.25">
      <c r="A83" s="11" t="s">
        <v>1122</v>
      </c>
      <c r="B83" s="11" t="s">
        <v>1088</v>
      </c>
      <c r="C83" s="3">
        <v>2014</v>
      </c>
      <c r="D83" s="1">
        <f t="shared" si="11"/>
        <v>0</v>
      </c>
      <c r="E83" s="287"/>
      <c r="F83" s="287"/>
      <c r="I83" s="287"/>
      <c r="J83" s="287"/>
      <c r="K83" s="287"/>
      <c r="L83" s="287">
        <f>0</f>
        <v>0</v>
      </c>
      <c r="M83" s="287"/>
      <c r="N83" s="267">
        <f t="shared" si="12"/>
        <v>0</v>
      </c>
      <c r="P83" s="96">
        <f t="shared" si="25"/>
        <v>0</v>
      </c>
      <c r="Q83" s="97">
        <f t="shared" si="14"/>
        <v>0</v>
      </c>
      <c r="R83" s="287"/>
      <c r="S83" s="287"/>
      <c r="T83" s="287"/>
      <c r="U83" s="287"/>
      <c r="V83" s="287"/>
      <c r="W83" s="287"/>
      <c r="X83" s="287"/>
      <c r="Z83" s="287"/>
      <c r="AE83" s="201"/>
      <c r="AF83" s="201"/>
      <c r="AG83" s="201"/>
      <c r="AH83" s="201"/>
      <c r="AI83" s="287"/>
      <c r="AL83" s="285"/>
      <c r="AM83" s="287"/>
      <c r="AN83" s="287"/>
      <c r="AO83" s="287"/>
      <c r="AP83" s="287"/>
      <c r="AQ83" s="287"/>
      <c r="AR83" s="287"/>
      <c r="AS83" s="285"/>
    </row>
    <row r="84" spans="1:48" x14ac:dyDescent="0.25">
      <c r="A84" s="11" t="s">
        <v>309</v>
      </c>
      <c r="B84" s="60" t="s">
        <v>0</v>
      </c>
      <c r="C84" s="62">
        <v>2014</v>
      </c>
      <c r="D84" s="1">
        <f t="shared" si="11"/>
        <v>96</v>
      </c>
      <c r="E84" s="287"/>
      <c r="F84" s="287"/>
      <c r="H84" s="290"/>
      <c r="I84" s="287"/>
      <c r="J84" s="287"/>
      <c r="K84" s="287"/>
      <c r="L84" s="287"/>
      <c r="M84" s="287"/>
      <c r="N84" s="267">
        <f t="shared" si="12"/>
        <v>96</v>
      </c>
      <c r="P84" s="96">
        <f t="shared" si="25"/>
        <v>96</v>
      </c>
      <c r="Q84" s="97">
        <f t="shared" si="14"/>
        <v>96</v>
      </c>
      <c r="R84" s="287"/>
      <c r="S84" s="287"/>
      <c r="T84" s="287"/>
      <c r="U84" s="287"/>
      <c r="V84" s="287"/>
      <c r="W84" s="287"/>
      <c r="X84" s="287"/>
      <c r="Y84" s="215">
        <f>AK84</f>
        <v>96</v>
      </c>
      <c r="Z84" s="120"/>
      <c r="AA84" s="96">
        <f>AM84+S84+T84+U84+V84+W84+X84+Y84</f>
        <v>96</v>
      </c>
      <c r="AB84" s="97">
        <f>IF(C84=2017, AA84/3,AA84)+Z84</f>
        <v>96</v>
      </c>
      <c r="AC84" s="290"/>
      <c r="AD84" s="290"/>
      <c r="AE84" s="256">
        <f>8</f>
        <v>8</v>
      </c>
      <c r="AF84" s="256">
        <f>6</f>
        <v>6</v>
      </c>
      <c r="AG84" s="256">
        <f>18</f>
        <v>18</v>
      </c>
      <c r="AH84" s="256">
        <f>AV84</f>
        <v>64</v>
      </c>
      <c r="AI84" s="120"/>
      <c r="AJ84" s="96">
        <f>SUM(AE84:AH84)</f>
        <v>96</v>
      </c>
      <c r="AK84" s="97">
        <f>IF(C84=2016, AJ84/3,AJ84)+AI84</f>
        <v>96</v>
      </c>
      <c r="AL84" s="22"/>
      <c r="AM84" s="41"/>
      <c r="AN84" s="41"/>
      <c r="AO84" s="41"/>
      <c r="AP84" s="41">
        <f>18</f>
        <v>18</v>
      </c>
      <c r="AQ84" s="41">
        <f>27</f>
        <v>27</v>
      </c>
      <c r="AR84" s="41">
        <f>17+2</f>
        <v>19</v>
      </c>
      <c r="AS84" s="13"/>
      <c r="AT84" s="95"/>
      <c r="AU84" s="96">
        <f>SUM(AM84:AS84)</f>
        <v>64</v>
      </c>
      <c r="AV84" s="97">
        <f>IF(C84=2015, AU84/3,AU84)+AT84</f>
        <v>64</v>
      </c>
    </row>
    <row r="85" spans="1:48" x14ac:dyDescent="0.25">
      <c r="A85" s="11" t="s">
        <v>814</v>
      </c>
      <c r="B85" s="11" t="s">
        <v>583</v>
      </c>
      <c r="C85" s="3">
        <v>2014</v>
      </c>
      <c r="D85" s="1">
        <f t="shared" si="11"/>
        <v>3</v>
      </c>
      <c r="E85" s="154"/>
      <c r="F85" s="154"/>
      <c r="H85" s="280"/>
      <c r="I85" s="154"/>
      <c r="J85" s="154"/>
      <c r="K85" s="154"/>
      <c r="L85" s="154"/>
      <c r="M85" s="154"/>
      <c r="N85" s="267">
        <f t="shared" si="12"/>
        <v>3</v>
      </c>
      <c r="P85" s="96">
        <f t="shared" si="25"/>
        <v>3</v>
      </c>
      <c r="Q85" s="97">
        <f t="shared" si="14"/>
        <v>3</v>
      </c>
      <c r="R85" s="154"/>
      <c r="S85" s="154"/>
      <c r="T85" s="154"/>
      <c r="U85" s="154"/>
      <c r="V85" s="154"/>
      <c r="W85" s="154"/>
      <c r="X85" s="154">
        <f>3</f>
        <v>3</v>
      </c>
      <c r="Y85" s="215">
        <f>AK85</f>
        <v>0</v>
      </c>
      <c r="Z85" s="152"/>
      <c r="AA85" s="96">
        <f>AM85+S85+T85+U85+V85+W85+X85+Y85</f>
        <v>3</v>
      </c>
      <c r="AB85" s="97">
        <f>IF(C85=2017, AA85/3,AA85)+Z85</f>
        <v>3</v>
      </c>
      <c r="AC85" s="263"/>
      <c r="AD85" s="263"/>
      <c r="AE85" s="256"/>
      <c r="AF85" s="256"/>
      <c r="AG85" s="256"/>
      <c r="AH85" s="256"/>
      <c r="AI85" s="120"/>
      <c r="AJ85" s="96">
        <f>SUM(AE85:AH85)</f>
        <v>0</v>
      </c>
      <c r="AK85" s="97">
        <f>IF(C85=2016, AJ85/3,AJ85)+AI85</f>
        <v>0</v>
      </c>
      <c r="AL85" s="101"/>
      <c r="AM85" s="151"/>
      <c r="AN85" s="151"/>
      <c r="AO85" s="151"/>
      <c r="AP85" s="151"/>
      <c r="AQ85" s="151"/>
      <c r="AR85" s="151"/>
      <c r="AS85" s="151"/>
      <c r="AT85" s="95"/>
      <c r="AU85" s="96"/>
      <c r="AV85" s="97"/>
    </row>
    <row r="86" spans="1:48" x14ac:dyDescent="0.25">
      <c r="A86" s="11" t="s">
        <v>454</v>
      </c>
      <c r="B86" s="11" t="s">
        <v>7</v>
      </c>
      <c r="C86" s="3">
        <v>2014</v>
      </c>
      <c r="D86" s="1">
        <f t="shared" si="11"/>
        <v>230</v>
      </c>
      <c r="E86" s="154"/>
      <c r="F86" s="154"/>
      <c r="I86" s="154"/>
      <c r="J86" s="154">
        <f>20</f>
        <v>20</v>
      </c>
      <c r="K86" s="154">
        <f>18</f>
        <v>18</v>
      </c>
      <c r="L86" s="154">
        <f>32+18</f>
        <v>50</v>
      </c>
      <c r="M86" s="154">
        <f>0+2</f>
        <v>2</v>
      </c>
      <c r="N86" s="267">
        <f t="shared" si="12"/>
        <v>140</v>
      </c>
      <c r="P86" s="96">
        <f t="shared" si="25"/>
        <v>230</v>
      </c>
      <c r="Q86" s="97">
        <f t="shared" si="14"/>
        <v>230</v>
      </c>
      <c r="R86" s="154"/>
      <c r="S86" s="154">
        <f>50+16</f>
        <v>66</v>
      </c>
      <c r="T86" s="154">
        <f>50+24</f>
        <v>74</v>
      </c>
      <c r="U86" s="154"/>
      <c r="V86" s="154"/>
      <c r="W86" s="154">
        <f>0</f>
        <v>0</v>
      </c>
      <c r="X86" s="154"/>
      <c r="Y86" s="215">
        <f>AK86</f>
        <v>0</v>
      </c>
      <c r="Z86" s="152"/>
      <c r="AA86" s="96">
        <f>AM86+S86+T86+U86+V86+W86+X86+Y86</f>
        <v>140</v>
      </c>
      <c r="AB86" s="97">
        <f>IF(C86=2017, AA86/3,AA86)+Z86</f>
        <v>140</v>
      </c>
      <c r="AI86" s="120"/>
      <c r="AJ86" s="96">
        <f>SUM(AE86:AH86)</f>
        <v>0</v>
      </c>
      <c r="AK86" s="97">
        <f>IF(C86=2016, AJ86/3,AJ86)+AI86</f>
        <v>0</v>
      </c>
      <c r="AL86" s="101"/>
      <c r="AM86" s="151"/>
      <c r="AN86" s="151"/>
      <c r="AO86" s="151"/>
      <c r="AP86" s="151"/>
      <c r="AQ86" s="151"/>
      <c r="AR86" s="151"/>
      <c r="AS86" s="151"/>
      <c r="AT86" s="95"/>
      <c r="AU86" s="96"/>
      <c r="AV86" s="97"/>
    </row>
    <row r="87" spans="1:48" x14ac:dyDescent="0.25">
      <c r="A87" s="11" t="s">
        <v>755</v>
      </c>
      <c r="B87" s="11" t="s">
        <v>1336</v>
      </c>
      <c r="C87" s="3">
        <v>2017</v>
      </c>
      <c r="D87" s="1">
        <f t="shared" si="11"/>
        <v>20</v>
      </c>
      <c r="E87" s="108">
        <f>0</f>
        <v>0</v>
      </c>
      <c r="F87" s="108">
        <f>3</f>
        <v>3</v>
      </c>
      <c r="H87" s="101"/>
      <c r="I87" s="108"/>
      <c r="J87" s="108"/>
      <c r="K87" s="108"/>
      <c r="L87" s="108">
        <f>15</f>
        <v>15</v>
      </c>
      <c r="M87" s="108">
        <f>0</f>
        <v>0</v>
      </c>
      <c r="N87" s="267">
        <f t="shared" si="12"/>
        <v>2</v>
      </c>
      <c r="P87" s="96">
        <f t="shared" si="25"/>
        <v>17</v>
      </c>
      <c r="Q87" s="97">
        <f t="shared" si="14"/>
        <v>17</v>
      </c>
      <c r="R87" s="108"/>
      <c r="S87" s="108"/>
      <c r="T87" s="108"/>
      <c r="U87" s="108"/>
      <c r="V87" s="108"/>
      <c r="W87" s="108"/>
      <c r="X87" s="108">
        <f>6</f>
        <v>6</v>
      </c>
      <c r="Y87" s="215">
        <f>AK87</f>
        <v>0</v>
      </c>
      <c r="Z87" s="122"/>
      <c r="AA87" s="96">
        <f>AM87+S87+T87+U87+V87+W87+X87+Y87</f>
        <v>6</v>
      </c>
      <c r="AB87" s="97">
        <f>IF(C87=2017, AA87/3,AA87)+Z87</f>
        <v>2</v>
      </c>
      <c r="AC87" s="101"/>
      <c r="AD87" s="108"/>
      <c r="AE87" s="108"/>
      <c r="AF87" s="108"/>
      <c r="AG87" s="108"/>
      <c r="AH87" s="108"/>
      <c r="AI87" s="122"/>
      <c r="AJ87" s="96">
        <f>SUM(AE87:AH87)</f>
        <v>0</v>
      </c>
      <c r="AK87" s="97">
        <f>IF(C87=2016, AJ87/3,AJ87)+AI87</f>
        <v>0</v>
      </c>
      <c r="AL87" s="101"/>
      <c r="AM87" s="41"/>
      <c r="AN87" s="41"/>
      <c r="AO87" s="41"/>
      <c r="AP87" s="41"/>
      <c r="AQ87" s="41"/>
      <c r="AR87" s="41"/>
      <c r="AS87" s="41"/>
    </row>
    <row r="88" spans="1:48" x14ac:dyDescent="0.25">
      <c r="A88" s="11" t="s">
        <v>882</v>
      </c>
      <c r="B88" s="60" t="s">
        <v>0</v>
      </c>
      <c r="C88" s="62">
        <v>2016</v>
      </c>
      <c r="D88" s="1">
        <f t="shared" si="11"/>
        <v>71</v>
      </c>
      <c r="E88" s="287"/>
      <c r="F88" s="287"/>
      <c r="I88" s="287"/>
      <c r="J88" s="287"/>
      <c r="K88" s="287"/>
      <c r="L88" s="287"/>
      <c r="M88" s="287"/>
      <c r="N88" s="267">
        <f t="shared" si="12"/>
        <v>71</v>
      </c>
      <c r="P88" s="96">
        <f t="shared" si="25"/>
        <v>71</v>
      </c>
      <c r="Q88" s="97">
        <f t="shared" si="14"/>
        <v>71</v>
      </c>
      <c r="R88" s="287"/>
      <c r="S88" s="287"/>
      <c r="T88" s="287"/>
      <c r="U88" s="287">
        <f>23+8+2</f>
        <v>33</v>
      </c>
      <c r="V88" s="287">
        <f>23+15</f>
        <v>38</v>
      </c>
      <c r="W88" s="287"/>
      <c r="X88" s="287"/>
      <c r="Y88" s="215">
        <f>AK88</f>
        <v>0</v>
      </c>
      <c r="Z88" s="152"/>
      <c r="AA88" s="96">
        <f>AM88+S88+T88+U88+V88+W88+X88+Y88</f>
        <v>71</v>
      </c>
      <c r="AB88" s="97">
        <f>IF(C88=2017, AA88/3,AA88)+Z88</f>
        <v>71</v>
      </c>
      <c r="AE88" s="256"/>
      <c r="AF88" s="256"/>
      <c r="AG88" s="256"/>
      <c r="AH88" s="256"/>
      <c r="AI88" s="120"/>
      <c r="AJ88" s="96">
        <f>SUM(AE88:AH88)</f>
        <v>0</v>
      </c>
      <c r="AK88" s="97">
        <f>IF(C88=2016, AJ88/3,AJ88)+AI88</f>
        <v>0</v>
      </c>
      <c r="AL88" s="22"/>
      <c r="AM88" s="151"/>
      <c r="AN88" s="151"/>
      <c r="AO88" s="151"/>
      <c r="AP88" s="151"/>
      <c r="AQ88" s="151"/>
      <c r="AR88" s="151"/>
      <c r="AS88" s="13"/>
      <c r="AT88" s="95"/>
      <c r="AU88" s="96"/>
      <c r="AV88" s="97"/>
    </row>
    <row r="89" spans="1:48" x14ac:dyDescent="0.25">
      <c r="A89" s="11" t="s">
        <v>1100</v>
      </c>
      <c r="B89" s="60" t="s">
        <v>1101</v>
      </c>
      <c r="C89" s="62">
        <v>2015</v>
      </c>
      <c r="D89" s="1">
        <f t="shared" si="11"/>
        <v>15</v>
      </c>
      <c r="J89" s="256"/>
      <c r="K89" s="256"/>
      <c r="L89" s="256">
        <f>15</f>
        <v>15</v>
      </c>
      <c r="M89" s="256"/>
      <c r="N89" s="267">
        <f t="shared" si="12"/>
        <v>0</v>
      </c>
      <c r="P89" s="96">
        <f t="shared" si="25"/>
        <v>15</v>
      </c>
      <c r="Q89" s="97">
        <f t="shared" si="14"/>
        <v>15</v>
      </c>
      <c r="R89" s="256"/>
      <c r="S89" s="256"/>
      <c r="T89" s="256"/>
      <c r="U89" s="256"/>
      <c r="V89" s="256"/>
      <c r="W89" s="256"/>
      <c r="X89" s="256"/>
      <c r="Z89" s="152"/>
      <c r="AA89" s="96"/>
      <c r="AB89" s="97"/>
      <c r="AE89" s="256"/>
      <c r="AF89" s="256"/>
      <c r="AG89" s="256"/>
      <c r="AH89" s="256"/>
      <c r="AI89" s="120"/>
      <c r="AJ89" s="96"/>
      <c r="AK89" s="97"/>
      <c r="AL89" s="22"/>
      <c r="AM89" s="151"/>
      <c r="AN89" s="151"/>
      <c r="AO89" s="151"/>
      <c r="AP89" s="151"/>
      <c r="AQ89" s="151"/>
      <c r="AR89" s="151"/>
      <c r="AS89" s="13"/>
      <c r="AT89" s="95"/>
      <c r="AU89" s="96"/>
      <c r="AV89" s="97"/>
    </row>
    <row r="90" spans="1:48" x14ac:dyDescent="0.25">
      <c r="A90" s="11" t="s">
        <v>944</v>
      </c>
      <c r="B90" s="60" t="s">
        <v>0</v>
      </c>
      <c r="C90" s="62">
        <v>2014</v>
      </c>
      <c r="D90" s="1">
        <f t="shared" si="11"/>
        <v>79</v>
      </c>
      <c r="E90" s="287"/>
      <c r="F90" s="287"/>
      <c r="I90" s="287">
        <f>0</f>
        <v>0</v>
      </c>
      <c r="J90" s="287">
        <f>0</f>
        <v>0</v>
      </c>
      <c r="K90" s="287">
        <f>5</f>
        <v>5</v>
      </c>
      <c r="L90" s="287">
        <f>32</f>
        <v>32</v>
      </c>
      <c r="M90" s="287"/>
      <c r="N90" s="267">
        <f t="shared" si="12"/>
        <v>42</v>
      </c>
      <c r="P90" s="96">
        <f t="shared" si="25"/>
        <v>79</v>
      </c>
      <c r="Q90" s="97">
        <f t="shared" si="14"/>
        <v>79</v>
      </c>
      <c r="R90" s="287"/>
      <c r="S90" s="287">
        <f>26</f>
        <v>26</v>
      </c>
      <c r="T90" s="287">
        <f>16</f>
        <v>16</v>
      </c>
      <c r="U90" s="287"/>
      <c r="V90" s="287"/>
      <c r="W90" s="287"/>
      <c r="X90" s="287"/>
      <c r="Y90" s="215">
        <f t="shared" ref="Y90:Y95" si="31">AK90</f>
        <v>0</v>
      </c>
      <c r="Z90" s="152"/>
      <c r="AA90" s="96">
        <f t="shared" ref="AA90:AA95" si="32">AM90+S90+T90+U90+V90+W90+X90+Y90</f>
        <v>42</v>
      </c>
      <c r="AB90" s="97">
        <f t="shared" ref="AB90:AB95" si="33">IF(C90=2017, AA90/3,AA90)+Z90</f>
        <v>42</v>
      </c>
      <c r="AE90" s="187"/>
      <c r="AF90" s="187"/>
      <c r="AG90" s="187"/>
      <c r="AH90" s="187"/>
      <c r="AI90" s="120"/>
      <c r="AJ90" s="96">
        <f t="shared" ref="AJ90:AJ95" si="34">SUM(AE90:AH90)</f>
        <v>0</v>
      </c>
      <c r="AK90" s="97">
        <f t="shared" ref="AK90:AK95" si="35">IF(C90=2016, AJ90/3,AJ90)+AI90</f>
        <v>0</v>
      </c>
      <c r="AL90" s="22"/>
      <c r="AM90" s="151"/>
      <c r="AN90" s="151"/>
      <c r="AO90" s="151"/>
      <c r="AP90" s="151"/>
      <c r="AQ90" s="151"/>
      <c r="AR90" s="151"/>
      <c r="AS90" s="13"/>
      <c r="AT90" s="95"/>
      <c r="AU90" s="96"/>
      <c r="AV90" s="97"/>
    </row>
    <row r="91" spans="1:48" x14ac:dyDescent="0.25">
      <c r="A91" s="45" t="s">
        <v>461</v>
      </c>
      <c r="B91" s="66" t="s">
        <v>0</v>
      </c>
      <c r="C91" s="46">
        <v>2015</v>
      </c>
      <c r="D91" s="1">
        <f t="shared" si="11"/>
        <v>195.66666666666666</v>
      </c>
      <c r="E91" s="283">
        <f>44</f>
        <v>44</v>
      </c>
      <c r="H91" s="280"/>
      <c r="I91" s="261">
        <f>40</f>
        <v>40</v>
      </c>
      <c r="J91" s="261">
        <f>44+2</f>
        <v>46</v>
      </c>
      <c r="K91" s="261">
        <f>41</f>
        <v>41</v>
      </c>
      <c r="L91" s="261">
        <f>22</f>
        <v>22</v>
      </c>
      <c r="M91" s="261"/>
      <c r="N91" s="267">
        <f t="shared" si="12"/>
        <v>2.6666666666666665</v>
      </c>
      <c r="P91" s="96">
        <f t="shared" si="25"/>
        <v>151.66666666666666</v>
      </c>
      <c r="Q91" s="97">
        <f t="shared" si="14"/>
        <v>151.66666666666666</v>
      </c>
      <c r="R91" s="261"/>
      <c r="S91" s="261"/>
      <c r="T91" s="261"/>
      <c r="U91" s="261"/>
      <c r="V91" s="261"/>
      <c r="W91" s="261"/>
      <c r="X91" s="261"/>
      <c r="Y91" s="215">
        <f t="shared" si="31"/>
        <v>2.6666666666666665</v>
      </c>
      <c r="Z91" s="120"/>
      <c r="AA91" s="96">
        <f t="shared" si="32"/>
        <v>2.6666666666666665</v>
      </c>
      <c r="AB91" s="97">
        <f t="shared" si="33"/>
        <v>2.6666666666666665</v>
      </c>
      <c r="AC91" s="263"/>
      <c r="AD91" s="263"/>
      <c r="AE91" s="261"/>
      <c r="AF91" s="261"/>
      <c r="AG91" s="261"/>
      <c r="AH91" s="261">
        <f>AV91</f>
        <v>2.6666666666666665</v>
      </c>
      <c r="AI91" s="120"/>
      <c r="AJ91" s="96">
        <f t="shared" si="34"/>
        <v>2.6666666666666665</v>
      </c>
      <c r="AK91" s="97">
        <f t="shared" si="35"/>
        <v>2.6666666666666665</v>
      </c>
      <c r="AL91" s="101"/>
      <c r="AM91" s="41"/>
      <c r="AN91" s="41"/>
      <c r="AO91" s="41"/>
      <c r="AP91" s="41"/>
      <c r="AQ91" s="41"/>
      <c r="AR91" s="41">
        <f>8</f>
        <v>8</v>
      </c>
      <c r="AS91" s="13"/>
      <c r="AT91" s="95"/>
      <c r="AU91" s="96">
        <f>SUM(AM91:AS91)</f>
        <v>8</v>
      </c>
      <c r="AV91" s="97">
        <f>IF(C91=2015, AU91/3,AU91)+AT91</f>
        <v>2.6666666666666665</v>
      </c>
    </row>
    <row r="92" spans="1:48" x14ac:dyDescent="0.25">
      <c r="A92" s="45" t="s">
        <v>731</v>
      </c>
      <c r="B92" s="66" t="s">
        <v>63</v>
      </c>
      <c r="C92" s="46">
        <v>2014</v>
      </c>
      <c r="D92" s="1">
        <f t="shared" si="11"/>
        <v>0</v>
      </c>
      <c r="E92" s="154"/>
      <c r="F92" s="154"/>
      <c r="H92" s="280"/>
      <c r="I92" s="154"/>
      <c r="J92" s="154"/>
      <c r="K92" s="154"/>
      <c r="L92" s="154"/>
      <c r="M92" s="154"/>
      <c r="N92" s="267">
        <f t="shared" si="12"/>
        <v>0</v>
      </c>
      <c r="P92" s="96">
        <f t="shared" si="25"/>
        <v>0</v>
      </c>
      <c r="Q92" s="97">
        <f t="shared" si="14"/>
        <v>0</v>
      </c>
      <c r="R92" s="154"/>
      <c r="S92" s="154"/>
      <c r="T92" s="154"/>
      <c r="U92" s="154"/>
      <c r="V92" s="154"/>
      <c r="W92" s="154"/>
      <c r="X92" s="154"/>
      <c r="Y92" s="215">
        <f t="shared" si="31"/>
        <v>0</v>
      </c>
      <c r="Z92" s="152"/>
      <c r="AA92" s="96">
        <f t="shared" si="32"/>
        <v>0</v>
      </c>
      <c r="AB92" s="97">
        <f t="shared" si="33"/>
        <v>0</v>
      </c>
      <c r="AC92" s="257"/>
      <c r="AD92" s="257"/>
      <c r="AE92" s="187"/>
      <c r="AF92" s="187"/>
      <c r="AG92" s="187"/>
      <c r="AH92" s="187"/>
      <c r="AI92" s="120"/>
      <c r="AJ92" s="96">
        <f t="shared" si="34"/>
        <v>0</v>
      </c>
      <c r="AK92" s="97">
        <f t="shared" si="35"/>
        <v>0</v>
      </c>
      <c r="AL92" s="101"/>
      <c r="AM92" s="151"/>
      <c r="AN92" s="151"/>
      <c r="AO92" s="151"/>
      <c r="AP92" s="151"/>
      <c r="AQ92" s="151"/>
      <c r="AR92" s="151"/>
      <c r="AS92" s="13"/>
      <c r="AT92" s="95"/>
      <c r="AU92" s="96">
        <f>SUM(AM92:AS92)</f>
        <v>0</v>
      </c>
      <c r="AV92" s="97">
        <f>IF(C92=2015, AU92/3,AU92)+AT92</f>
        <v>0</v>
      </c>
    </row>
    <row r="93" spans="1:48" x14ac:dyDescent="0.25">
      <c r="A93" s="11" t="s">
        <v>943</v>
      </c>
      <c r="B93" s="60" t="s">
        <v>938</v>
      </c>
      <c r="C93" s="62">
        <v>2014</v>
      </c>
      <c r="D93" s="1">
        <f t="shared" si="11"/>
        <v>84</v>
      </c>
      <c r="E93" s="287">
        <f>34+30</f>
        <v>64</v>
      </c>
      <c r="F93" s="287"/>
      <c r="I93" s="287"/>
      <c r="J93" s="287"/>
      <c r="K93" s="287"/>
      <c r="L93" s="287"/>
      <c r="M93" s="287"/>
      <c r="N93" s="267">
        <f t="shared" si="12"/>
        <v>20</v>
      </c>
      <c r="P93" s="96">
        <f t="shared" si="25"/>
        <v>20</v>
      </c>
      <c r="Q93" s="97">
        <f t="shared" si="14"/>
        <v>20</v>
      </c>
      <c r="R93" s="287"/>
      <c r="S93" s="287"/>
      <c r="T93" s="287">
        <f>20</f>
        <v>20</v>
      </c>
      <c r="U93" s="287"/>
      <c r="V93" s="287"/>
      <c r="W93" s="287"/>
      <c r="X93" s="287"/>
      <c r="Y93" s="215">
        <f t="shared" si="31"/>
        <v>0</v>
      </c>
      <c r="Z93" s="152"/>
      <c r="AA93" s="96">
        <f t="shared" si="32"/>
        <v>20</v>
      </c>
      <c r="AB93" s="97">
        <f t="shared" si="33"/>
        <v>20</v>
      </c>
      <c r="AE93" s="261"/>
      <c r="AF93" s="261"/>
      <c r="AG93" s="261"/>
      <c r="AH93" s="261"/>
      <c r="AI93" s="120"/>
      <c r="AJ93" s="96">
        <f t="shared" si="34"/>
        <v>0</v>
      </c>
      <c r="AK93" s="97">
        <f t="shared" si="35"/>
        <v>0</v>
      </c>
      <c r="AL93" s="22"/>
      <c r="AM93" s="151"/>
      <c r="AN93" s="151"/>
      <c r="AO93" s="151"/>
      <c r="AP93" s="151"/>
      <c r="AQ93" s="151"/>
      <c r="AR93" s="151"/>
      <c r="AS93" s="13"/>
      <c r="AT93" s="95"/>
      <c r="AU93" s="96"/>
      <c r="AV93" s="97"/>
    </row>
    <row r="94" spans="1:48" x14ac:dyDescent="0.25">
      <c r="A94" s="11" t="s">
        <v>1039</v>
      </c>
      <c r="B94" s="60" t="s">
        <v>86</v>
      </c>
      <c r="C94" s="62">
        <v>2014</v>
      </c>
      <c r="D94" s="1">
        <f t="shared" si="11"/>
        <v>28</v>
      </c>
      <c r="E94" s="287"/>
      <c r="F94" s="287"/>
      <c r="I94" s="287"/>
      <c r="J94" s="287"/>
      <c r="K94" s="287"/>
      <c r="L94" s="287">
        <f>28</f>
        <v>28</v>
      </c>
      <c r="M94" s="287"/>
      <c r="N94" s="267">
        <f t="shared" si="12"/>
        <v>0</v>
      </c>
      <c r="P94" s="96">
        <f t="shared" si="25"/>
        <v>28</v>
      </c>
      <c r="Q94" s="97">
        <f t="shared" si="14"/>
        <v>28</v>
      </c>
      <c r="R94" s="287"/>
      <c r="S94" s="287"/>
      <c r="T94" s="287"/>
      <c r="U94" s="287"/>
      <c r="V94" s="287"/>
      <c r="W94" s="287"/>
      <c r="X94" s="287"/>
      <c r="Y94" s="215">
        <f t="shared" si="31"/>
        <v>0</v>
      </c>
      <c r="Z94" s="120"/>
      <c r="AA94" s="96">
        <f t="shared" si="32"/>
        <v>0</v>
      </c>
      <c r="AB94" s="97">
        <f t="shared" si="33"/>
        <v>0</v>
      </c>
      <c r="AE94" s="261"/>
      <c r="AF94" s="261"/>
      <c r="AG94" s="261"/>
      <c r="AH94" s="261"/>
      <c r="AI94" s="120"/>
      <c r="AJ94" s="96">
        <f t="shared" si="34"/>
        <v>0</v>
      </c>
      <c r="AK94" s="97">
        <f t="shared" si="35"/>
        <v>0</v>
      </c>
      <c r="AL94" s="22"/>
      <c r="AM94" s="41"/>
      <c r="AN94" s="41"/>
      <c r="AO94" s="41"/>
      <c r="AP94" s="41"/>
      <c r="AQ94" s="41"/>
      <c r="AR94" s="41"/>
      <c r="AS94" s="13"/>
      <c r="AT94" s="95"/>
      <c r="AU94" s="96"/>
      <c r="AV94" s="97"/>
    </row>
    <row r="95" spans="1:48" x14ac:dyDescent="0.25">
      <c r="A95" s="45" t="s">
        <v>860</v>
      </c>
      <c r="B95" s="66" t="s">
        <v>476</v>
      </c>
      <c r="C95" s="46">
        <v>2015</v>
      </c>
      <c r="D95" s="1">
        <f t="shared" ref="D95:D157" si="36">Q95+F95+E95</f>
        <v>3</v>
      </c>
      <c r="E95" s="154"/>
      <c r="F95" s="154"/>
      <c r="I95" s="154"/>
      <c r="J95" s="154"/>
      <c r="K95" s="154"/>
      <c r="L95" s="154"/>
      <c r="M95" s="154"/>
      <c r="N95" s="267">
        <f t="shared" ref="N95:N157" si="37">AB95</f>
        <v>3</v>
      </c>
      <c r="P95" s="96">
        <f t="shared" ref="P95:P126" si="38">I95+J95+K95+L95+M95+N95</f>
        <v>3</v>
      </c>
      <c r="Q95" s="97">
        <f t="shared" ref="Q95:Q157" si="39">IF(C95=2013, P95/3,P95)+O95</f>
        <v>3</v>
      </c>
      <c r="R95" s="154"/>
      <c r="S95" s="154"/>
      <c r="T95" s="154"/>
      <c r="U95" s="154"/>
      <c r="V95" s="154"/>
      <c r="W95" s="154">
        <f>2+1</f>
        <v>3</v>
      </c>
      <c r="X95" s="154"/>
      <c r="Y95" s="215">
        <f t="shared" si="31"/>
        <v>0</v>
      </c>
      <c r="Z95" s="152"/>
      <c r="AA95" s="96">
        <f t="shared" si="32"/>
        <v>3</v>
      </c>
      <c r="AB95" s="97">
        <f t="shared" si="33"/>
        <v>3</v>
      </c>
      <c r="AI95" s="120"/>
      <c r="AJ95" s="96">
        <f t="shared" si="34"/>
        <v>0</v>
      </c>
      <c r="AK95" s="97">
        <f t="shared" si="35"/>
        <v>0</v>
      </c>
      <c r="AL95" s="101"/>
      <c r="AM95" s="151"/>
      <c r="AN95" s="151"/>
      <c r="AO95" s="151"/>
      <c r="AP95" s="151"/>
      <c r="AQ95" s="151"/>
      <c r="AR95" s="151"/>
      <c r="AS95" s="13"/>
      <c r="AT95" s="95"/>
      <c r="AU95" s="96"/>
      <c r="AV95" s="97"/>
    </row>
    <row r="96" spans="1:48" x14ac:dyDescent="0.25">
      <c r="A96" s="45" t="s">
        <v>1135</v>
      </c>
      <c r="B96" s="66" t="s">
        <v>7</v>
      </c>
      <c r="C96" s="46">
        <v>2015</v>
      </c>
      <c r="D96" s="1">
        <f t="shared" si="36"/>
        <v>0</v>
      </c>
      <c r="E96" s="154"/>
      <c r="F96" s="154"/>
      <c r="I96" s="154"/>
      <c r="J96" s="154"/>
      <c r="K96" s="154"/>
      <c r="L96" s="154">
        <f>0</f>
        <v>0</v>
      </c>
      <c r="M96" s="154"/>
      <c r="N96" s="267">
        <f t="shared" si="37"/>
        <v>0</v>
      </c>
      <c r="P96" s="96">
        <f t="shared" si="38"/>
        <v>0</v>
      </c>
      <c r="Q96" s="97">
        <f t="shared" si="39"/>
        <v>0</v>
      </c>
      <c r="R96" s="154"/>
      <c r="S96" s="154"/>
      <c r="T96" s="154"/>
      <c r="U96" s="154"/>
      <c r="V96" s="154"/>
      <c r="W96" s="154"/>
      <c r="X96" s="154"/>
      <c r="Z96" s="152"/>
      <c r="AA96" s="96"/>
      <c r="AB96" s="97"/>
      <c r="AE96" s="256"/>
      <c r="AF96" s="256"/>
      <c r="AG96" s="256"/>
      <c r="AH96" s="256"/>
      <c r="AI96" s="120"/>
      <c r="AJ96" s="96"/>
      <c r="AK96" s="97"/>
      <c r="AL96" s="101"/>
      <c r="AM96" s="151"/>
      <c r="AN96" s="151"/>
      <c r="AO96" s="151"/>
      <c r="AP96" s="151"/>
      <c r="AQ96" s="151"/>
      <c r="AR96" s="151"/>
      <c r="AS96" s="13"/>
      <c r="AT96" s="95"/>
      <c r="AU96" s="96"/>
      <c r="AV96" s="97"/>
    </row>
    <row r="97" spans="1:48" x14ac:dyDescent="0.25">
      <c r="A97" s="45" t="s">
        <v>442</v>
      </c>
      <c r="B97" s="66" t="s">
        <v>272</v>
      </c>
      <c r="C97" s="46">
        <v>2017</v>
      </c>
      <c r="D97" s="1">
        <f t="shared" si="36"/>
        <v>10</v>
      </c>
      <c r="E97" s="108"/>
      <c r="F97" s="108"/>
      <c r="H97" s="101"/>
      <c r="I97" s="108"/>
      <c r="J97" s="108"/>
      <c r="K97" s="108"/>
      <c r="L97" s="108"/>
      <c r="M97" s="108"/>
      <c r="N97" s="267">
        <f t="shared" si="37"/>
        <v>10</v>
      </c>
      <c r="P97" s="96">
        <f t="shared" si="38"/>
        <v>10</v>
      </c>
      <c r="Q97" s="97">
        <f t="shared" si="39"/>
        <v>10</v>
      </c>
      <c r="R97" s="108"/>
      <c r="S97" s="108"/>
      <c r="T97" s="108"/>
      <c r="U97" s="108"/>
      <c r="V97" s="108"/>
      <c r="W97" s="108"/>
      <c r="X97" s="108"/>
      <c r="Y97" s="215">
        <f>AK97</f>
        <v>30</v>
      </c>
      <c r="Z97" s="122"/>
      <c r="AA97" s="96">
        <f>AM97+S97+T97+U97+V97+W97+X97+Y97</f>
        <v>30</v>
      </c>
      <c r="AB97" s="97">
        <f>IF(C97=2017, AA97/3,AA97)+Z97</f>
        <v>10</v>
      </c>
      <c r="AC97" s="101"/>
      <c r="AD97" s="108"/>
      <c r="AE97" s="108"/>
      <c r="AF97" s="108">
        <f>12</f>
        <v>12</v>
      </c>
      <c r="AG97" s="108"/>
      <c r="AH97" s="108">
        <f>AV97</f>
        <v>18</v>
      </c>
      <c r="AI97" s="122"/>
      <c r="AJ97" s="96">
        <f>SUM(AE97:AH97)</f>
        <v>30</v>
      </c>
      <c r="AK97" s="97">
        <f>IF(C97=2016, AJ97/3,AJ97)+AI97</f>
        <v>30</v>
      </c>
      <c r="AL97" s="101"/>
      <c r="AM97" s="41"/>
      <c r="AN97" s="41"/>
      <c r="AO97" s="41"/>
      <c r="AP97" s="41"/>
      <c r="AQ97" s="41">
        <f>9</f>
        <v>9</v>
      </c>
      <c r="AR97" s="41">
        <f>9</f>
        <v>9</v>
      </c>
      <c r="AS97" s="13"/>
      <c r="AU97" s="3">
        <f>SUM(AM97:AT97)</f>
        <v>18</v>
      </c>
      <c r="AV97" s="3">
        <f>AU97</f>
        <v>18</v>
      </c>
    </row>
    <row r="98" spans="1:48" x14ac:dyDescent="0.25">
      <c r="A98" s="45" t="s">
        <v>764</v>
      </c>
      <c r="B98" s="66" t="s">
        <v>63</v>
      </c>
      <c r="C98" s="46">
        <v>2016</v>
      </c>
      <c r="D98" s="1">
        <f t="shared" si="36"/>
        <v>94</v>
      </c>
      <c r="E98" s="154"/>
      <c r="F98" s="154"/>
      <c r="H98" s="280"/>
      <c r="I98" s="154"/>
      <c r="J98" s="154"/>
      <c r="K98" s="154">
        <f>15</f>
        <v>15</v>
      </c>
      <c r="L98" s="154"/>
      <c r="M98" s="154"/>
      <c r="N98" s="267">
        <f t="shared" si="37"/>
        <v>79</v>
      </c>
      <c r="P98" s="96">
        <f t="shared" si="38"/>
        <v>94</v>
      </c>
      <c r="Q98" s="97">
        <f t="shared" si="39"/>
        <v>94</v>
      </c>
      <c r="R98" s="154"/>
      <c r="S98" s="154">
        <f>0</f>
        <v>0</v>
      </c>
      <c r="T98" s="154">
        <f>9</f>
        <v>9</v>
      </c>
      <c r="U98" s="154">
        <f>6</f>
        <v>6</v>
      </c>
      <c r="V98" s="154">
        <f>23+7</f>
        <v>30</v>
      </c>
      <c r="W98" s="154">
        <f>18</f>
        <v>18</v>
      </c>
      <c r="X98" s="154">
        <f>16</f>
        <v>16</v>
      </c>
      <c r="Y98" s="215">
        <f>AK98</f>
        <v>0</v>
      </c>
      <c r="Z98" s="152"/>
      <c r="AA98" s="96">
        <f>AM98+S98+T98+U98+V98+W98+X98+Y98</f>
        <v>79</v>
      </c>
      <c r="AB98" s="97">
        <f>IF(C98=2017, AA98/3,AA98)+Z98</f>
        <v>79</v>
      </c>
      <c r="AC98" s="205"/>
      <c r="AD98" s="205"/>
      <c r="AE98" s="287"/>
      <c r="AF98" s="287"/>
      <c r="AG98" s="287"/>
      <c r="AH98" s="287"/>
      <c r="AI98" s="120"/>
      <c r="AJ98" s="96">
        <f>SUM(AE98:AH98)</f>
        <v>0</v>
      </c>
      <c r="AK98" s="97">
        <f>IF(C98=2016, AJ98/3,AJ98)+AI98</f>
        <v>0</v>
      </c>
      <c r="AL98" s="101"/>
      <c r="AM98" s="151"/>
      <c r="AN98" s="151"/>
      <c r="AO98" s="151"/>
      <c r="AP98" s="151"/>
      <c r="AQ98" s="151"/>
      <c r="AR98" s="151"/>
      <c r="AS98" s="13"/>
      <c r="AT98" s="95"/>
      <c r="AU98" s="96"/>
      <c r="AV98" s="97"/>
    </row>
    <row r="99" spans="1:48" x14ac:dyDescent="0.25">
      <c r="A99" s="45" t="s">
        <v>865</v>
      </c>
      <c r="B99" s="66" t="s">
        <v>476</v>
      </c>
      <c r="C99" s="46">
        <v>2015</v>
      </c>
      <c r="D99" s="1">
        <f t="shared" si="36"/>
        <v>1</v>
      </c>
      <c r="E99" s="154"/>
      <c r="F99" s="154"/>
      <c r="I99" s="154"/>
      <c r="J99" s="154"/>
      <c r="K99" s="154"/>
      <c r="L99" s="154"/>
      <c r="M99" s="154"/>
      <c r="N99" s="267">
        <f t="shared" si="37"/>
        <v>1</v>
      </c>
      <c r="P99" s="96">
        <f t="shared" si="38"/>
        <v>1</v>
      </c>
      <c r="Q99" s="97">
        <f t="shared" si="39"/>
        <v>1</v>
      </c>
      <c r="R99" s="154"/>
      <c r="S99" s="154"/>
      <c r="T99" s="154"/>
      <c r="U99" s="154"/>
      <c r="V99" s="154"/>
      <c r="W99" s="154">
        <f>1</f>
        <v>1</v>
      </c>
      <c r="X99" s="154"/>
      <c r="Y99" s="215">
        <f>AK99</f>
        <v>0</v>
      </c>
      <c r="Z99" s="152"/>
      <c r="AA99" s="96">
        <f>AM99+S99+T99+U99+V99+W99+X99+Y99</f>
        <v>1</v>
      </c>
      <c r="AB99" s="97">
        <f>IF(C99=2017, AA99/3,AA99)+Z99</f>
        <v>1</v>
      </c>
      <c r="AE99" s="261"/>
      <c r="AF99" s="261"/>
      <c r="AG99" s="261"/>
      <c r="AH99" s="261"/>
      <c r="AI99" s="120"/>
      <c r="AJ99" s="96">
        <f>SUM(AE99:AH99)</f>
        <v>0</v>
      </c>
      <c r="AK99" s="97">
        <f>IF(C99=2016, AJ99/3,AJ99)+AI99</f>
        <v>0</v>
      </c>
      <c r="AL99" s="101"/>
      <c r="AM99" s="151"/>
      <c r="AN99" s="151"/>
      <c r="AO99" s="151"/>
      <c r="AP99" s="151"/>
      <c r="AQ99" s="151"/>
      <c r="AR99" s="151"/>
      <c r="AS99" s="13"/>
      <c r="AT99" s="95"/>
      <c r="AU99" s="96"/>
      <c r="AV99" s="97"/>
    </row>
    <row r="100" spans="1:48" x14ac:dyDescent="0.25">
      <c r="A100" s="11" t="s">
        <v>1215</v>
      </c>
      <c r="B100" s="60" t="s">
        <v>64</v>
      </c>
      <c r="C100" s="62">
        <v>2014</v>
      </c>
      <c r="D100" s="1">
        <f t="shared" si="36"/>
        <v>25</v>
      </c>
      <c r="H100" s="290"/>
      <c r="K100" s="241">
        <f>0</f>
        <v>0</v>
      </c>
      <c r="N100" s="267">
        <f t="shared" si="37"/>
        <v>25</v>
      </c>
      <c r="P100" s="96">
        <f t="shared" si="38"/>
        <v>25</v>
      </c>
      <c r="Q100" s="97">
        <f t="shared" si="39"/>
        <v>25</v>
      </c>
      <c r="S100" s="215"/>
      <c r="T100" s="215"/>
      <c r="U100" s="215"/>
      <c r="V100" s="215"/>
      <c r="W100" s="215"/>
      <c r="X100" s="215"/>
      <c r="Y100" s="215">
        <f>AK100</f>
        <v>25</v>
      </c>
      <c r="Z100" s="120"/>
      <c r="AA100" s="96">
        <f>AM100+S100+T100+U100+V100+W100+X100+Y100</f>
        <v>25</v>
      </c>
      <c r="AB100" s="97">
        <f>IF(C100=2017, AA100/3,AA100)+Z100</f>
        <v>25</v>
      </c>
      <c r="AC100" s="290"/>
      <c r="AD100" s="290"/>
      <c r="AE100" s="215"/>
      <c r="AF100" s="215"/>
      <c r="AG100" s="215"/>
      <c r="AH100" s="215">
        <f>AV100</f>
        <v>25</v>
      </c>
      <c r="AI100" s="120"/>
      <c r="AJ100" s="96">
        <f>SUM(AE100:AH100)</f>
        <v>25</v>
      </c>
      <c r="AK100" s="97">
        <f>IF(C100=2016, AJ100/3,AJ100)+AI100</f>
        <v>25</v>
      </c>
      <c r="AL100" s="22"/>
      <c r="AM100" s="41"/>
      <c r="AN100" s="41">
        <v>8</v>
      </c>
      <c r="AO100" s="41">
        <f>17</f>
        <v>17</v>
      </c>
      <c r="AP100" s="41"/>
      <c r="AQ100" s="41"/>
      <c r="AR100" s="41"/>
      <c r="AS100" s="13"/>
      <c r="AT100" s="95"/>
      <c r="AU100" s="96">
        <f>SUM(AM100:AS100)</f>
        <v>25</v>
      </c>
      <c r="AV100" s="97">
        <f>IF(C100=2015, AU100/3,AU100)+AT100</f>
        <v>25</v>
      </c>
    </row>
    <row r="101" spans="1:48" x14ac:dyDescent="0.25">
      <c r="A101" s="45" t="s">
        <v>1087</v>
      </c>
      <c r="B101" s="66" t="s">
        <v>1088</v>
      </c>
      <c r="C101" s="46">
        <v>2015</v>
      </c>
      <c r="D101" s="1">
        <f t="shared" si="36"/>
        <v>0</v>
      </c>
      <c r="E101" s="154"/>
      <c r="F101" s="154"/>
      <c r="I101" s="154"/>
      <c r="J101" s="154"/>
      <c r="K101" s="154"/>
      <c r="L101" s="154">
        <f>0</f>
        <v>0</v>
      </c>
      <c r="M101" s="154"/>
      <c r="N101" s="267">
        <f t="shared" si="37"/>
        <v>0</v>
      </c>
      <c r="P101" s="96">
        <f t="shared" si="38"/>
        <v>0</v>
      </c>
      <c r="Q101" s="97">
        <f t="shared" si="39"/>
        <v>0</v>
      </c>
      <c r="R101" s="154"/>
      <c r="S101" s="154"/>
      <c r="T101" s="154"/>
      <c r="U101" s="154"/>
      <c r="V101" s="154"/>
      <c r="W101" s="154"/>
      <c r="X101" s="154"/>
      <c r="Z101" s="152"/>
      <c r="AA101" s="96"/>
      <c r="AB101" s="97"/>
      <c r="AE101" s="261"/>
      <c r="AF101" s="261"/>
      <c r="AG101" s="261"/>
      <c r="AH101" s="261"/>
      <c r="AI101" s="120"/>
      <c r="AJ101" s="96"/>
      <c r="AK101" s="97"/>
      <c r="AL101" s="101"/>
      <c r="AM101" s="151"/>
      <c r="AN101" s="151"/>
      <c r="AO101" s="151"/>
      <c r="AP101" s="151"/>
      <c r="AQ101" s="151"/>
      <c r="AR101" s="151"/>
      <c r="AS101" s="13"/>
      <c r="AT101" s="95"/>
      <c r="AU101" s="96"/>
      <c r="AV101" s="97"/>
    </row>
    <row r="102" spans="1:48" x14ac:dyDescent="0.25">
      <c r="A102" s="45" t="s">
        <v>1213</v>
      </c>
      <c r="B102" s="66" t="s">
        <v>834</v>
      </c>
      <c r="C102" s="46"/>
      <c r="D102" s="1">
        <f t="shared" si="36"/>
        <v>0</v>
      </c>
      <c r="E102" s="154"/>
      <c r="F102" s="154"/>
      <c r="I102" s="154"/>
      <c r="J102" s="154"/>
      <c r="K102" s="154">
        <f>0</f>
        <v>0</v>
      </c>
      <c r="L102" s="154"/>
      <c r="M102" s="154"/>
      <c r="N102" s="267">
        <f t="shared" si="37"/>
        <v>0</v>
      </c>
      <c r="P102" s="96">
        <f t="shared" si="38"/>
        <v>0</v>
      </c>
      <c r="Q102" s="97">
        <f t="shared" si="39"/>
        <v>0</v>
      </c>
      <c r="R102" s="154"/>
      <c r="S102" s="154"/>
      <c r="T102" s="154"/>
      <c r="U102" s="154"/>
      <c r="V102" s="154"/>
      <c r="W102" s="154"/>
      <c r="X102" s="154"/>
      <c r="Z102" s="152"/>
      <c r="AA102" s="96"/>
      <c r="AB102" s="97"/>
      <c r="AE102" s="287"/>
      <c r="AF102" s="287"/>
      <c r="AG102" s="287"/>
      <c r="AH102" s="287"/>
      <c r="AI102" s="120"/>
      <c r="AJ102" s="96"/>
      <c r="AK102" s="97"/>
      <c r="AL102" s="101"/>
      <c r="AM102" s="151"/>
      <c r="AN102" s="151"/>
      <c r="AO102" s="151"/>
      <c r="AP102" s="151"/>
      <c r="AQ102" s="151"/>
      <c r="AR102" s="151"/>
      <c r="AS102" s="13"/>
      <c r="AT102" s="95"/>
      <c r="AU102" s="96"/>
      <c r="AV102" s="97"/>
    </row>
    <row r="103" spans="1:48" x14ac:dyDescent="0.25">
      <c r="A103" s="71" t="s">
        <v>232</v>
      </c>
      <c r="B103" s="66" t="s">
        <v>63</v>
      </c>
      <c r="C103" s="72">
        <v>2015</v>
      </c>
      <c r="D103" s="1">
        <f t="shared" si="36"/>
        <v>0</v>
      </c>
      <c r="E103" s="287"/>
      <c r="F103" s="287"/>
      <c r="H103" s="280"/>
      <c r="I103" s="287"/>
      <c r="J103" s="287"/>
      <c r="K103" s="287"/>
      <c r="L103" s="287"/>
      <c r="M103" s="287"/>
      <c r="N103" s="267">
        <f t="shared" si="37"/>
        <v>0</v>
      </c>
      <c r="P103" s="96">
        <f t="shared" si="38"/>
        <v>0</v>
      </c>
      <c r="Q103" s="97">
        <f t="shared" si="39"/>
        <v>0</v>
      </c>
      <c r="R103" s="287"/>
      <c r="S103" s="287"/>
      <c r="T103" s="287"/>
      <c r="U103" s="287"/>
      <c r="V103" s="287"/>
      <c r="W103" s="287"/>
      <c r="X103" s="287"/>
      <c r="Y103" s="215">
        <f>AK103</f>
        <v>0</v>
      </c>
      <c r="Z103" s="120"/>
      <c r="AA103" s="96">
        <f>AM103+S103+T103+U103+V103+W103+X103+Y103</f>
        <v>0</v>
      </c>
      <c r="AB103" s="97">
        <f>IF(C103=2017, AA103/3,AA103)+Z103</f>
        <v>0</v>
      </c>
      <c r="AC103" s="257"/>
      <c r="AD103" s="257"/>
      <c r="AE103" s="287"/>
      <c r="AF103" s="287"/>
      <c r="AG103" s="287"/>
      <c r="AH103" s="287">
        <f>AV103</f>
        <v>0</v>
      </c>
      <c r="AI103" s="120"/>
      <c r="AJ103" s="96">
        <f>SUM(AE103:AH103)</f>
        <v>0</v>
      </c>
      <c r="AK103" s="97">
        <f>IF(C103=2016, AJ103/3,AJ103)+AI103</f>
        <v>0</v>
      </c>
      <c r="AL103" s="101"/>
      <c r="AM103" s="41"/>
      <c r="AN103" s="41"/>
      <c r="AO103" s="41">
        <f>0</f>
        <v>0</v>
      </c>
      <c r="AP103" s="41"/>
      <c r="AQ103" s="41"/>
      <c r="AR103" s="41"/>
      <c r="AS103" s="13"/>
      <c r="AT103" s="95"/>
      <c r="AU103" s="96">
        <f>SUM(AM103:AS103)</f>
        <v>0</v>
      </c>
      <c r="AV103" s="97">
        <f>IF(C103=2015, AU103/3,AU103)+AT103</f>
        <v>0</v>
      </c>
    </row>
    <row r="104" spans="1:48" x14ac:dyDescent="0.25">
      <c r="A104" s="11" t="s">
        <v>1220</v>
      </c>
      <c r="B104" s="11" t="s">
        <v>834</v>
      </c>
      <c r="C104" s="3">
        <v>2015</v>
      </c>
      <c r="D104" s="1">
        <f t="shared" si="36"/>
        <v>19</v>
      </c>
      <c r="E104" s="283">
        <f>5</f>
        <v>5</v>
      </c>
      <c r="I104" s="261">
        <f>14</f>
        <v>14</v>
      </c>
      <c r="J104" s="256"/>
      <c r="K104" s="256">
        <f>0</f>
        <v>0</v>
      </c>
      <c r="L104" s="256"/>
      <c r="M104" s="256"/>
      <c r="N104" s="267">
        <f t="shared" si="37"/>
        <v>0</v>
      </c>
      <c r="P104" s="96">
        <f t="shared" si="38"/>
        <v>14</v>
      </c>
      <c r="Q104" s="97">
        <f t="shared" si="39"/>
        <v>14</v>
      </c>
      <c r="R104" s="256"/>
      <c r="S104" s="256"/>
      <c r="T104" s="256"/>
      <c r="U104" s="256"/>
      <c r="V104" s="256"/>
      <c r="W104" s="256"/>
      <c r="X104" s="256"/>
      <c r="Z104" s="287"/>
      <c r="AE104" s="256"/>
      <c r="AF104" s="256"/>
      <c r="AG104" s="256"/>
      <c r="AH104" s="256"/>
      <c r="AI104" s="287"/>
      <c r="AL104" s="285"/>
      <c r="AM104" s="256"/>
      <c r="AN104" s="256"/>
      <c r="AO104" s="256"/>
      <c r="AP104" s="256"/>
      <c r="AQ104" s="256"/>
      <c r="AR104" s="256"/>
      <c r="AS104" s="254"/>
    </row>
    <row r="105" spans="1:48" x14ac:dyDescent="0.25">
      <c r="A105" s="45" t="s">
        <v>885</v>
      </c>
      <c r="B105" s="66" t="s">
        <v>404</v>
      </c>
      <c r="C105" s="46">
        <v>2014</v>
      </c>
      <c r="D105" s="1">
        <f t="shared" si="36"/>
        <v>82</v>
      </c>
      <c r="E105" s="250">
        <f>0</f>
        <v>0</v>
      </c>
      <c r="F105" s="250"/>
      <c r="I105" s="250"/>
      <c r="J105" s="250">
        <f>18+2</f>
        <v>20</v>
      </c>
      <c r="K105" s="250">
        <f>20+14</f>
        <v>34</v>
      </c>
      <c r="L105" s="154"/>
      <c r="M105" s="154"/>
      <c r="N105" s="267">
        <f t="shared" si="37"/>
        <v>28</v>
      </c>
      <c r="P105" s="96">
        <f t="shared" si="38"/>
        <v>82</v>
      </c>
      <c r="Q105" s="97">
        <f t="shared" si="39"/>
        <v>82</v>
      </c>
      <c r="R105" s="154"/>
      <c r="S105" s="154">
        <f>5</f>
        <v>5</v>
      </c>
      <c r="T105" s="154"/>
      <c r="U105" s="154"/>
      <c r="V105" s="154">
        <f>23</f>
        <v>23</v>
      </c>
      <c r="W105" s="154"/>
      <c r="X105" s="154"/>
      <c r="Y105" s="215">
        <f t="shared" ref="Y105:Y115" si="40">AK105</f>
        <v>0</v>
      </c>
      <c r="Z105" s="152"/>
      <c r="AA105" s="96">
        <f t="shared" ref="AA105:AA115" si="41">AM105+S105+T105+U105+V105+W105+X105+Y105</f>
        <v>28</v>
      </c>
      <c r="AB105" s="97">
        <f t="shared" ref="AB105:AB115" si="42">IF(C105=2017, AA105/3,AA105)+Z105</f>
        <v>28</v>
      </c>
      <c r="AI105" s="120"/>
      <c r="AJ105" s="96">
        <f t="shared" ref="AJ105:AJ115" si="43">SUM(AE105:AH105)</f>
        <v>0</v>
      </c>
      <c r="AK105" s="97">
        <f t="shared" ref="AK105:AK115" si="44">IF(C105=2016, AJ105/3,AJ105)+AI105</f>
        <v>0</v>
      </c>
      <c r="AL105" s="101"/>
      <c r="AM105" s="151"/>
      <c r="AN105" s="151"/>
      <c r="AO105" s="151"/>
      <c r="AP105" s="151"/>
      <c r="AQ105" s="151"/>
      <c r="AR105" s="151"/>
      <c r="AS105" s="13"/>
      <c r="AT105" s="95"/>
      <c r="AU105" s="96"/>
      <c r="AV105" s="97"/>
    </row>
    <row r="106" spans="1:48" x14ac:dyDescent="0.25">
      <c r="A106" s="45" t="s">
        <v>998</v>
      </c>
      <c r="B106" s="66" t="s">
        <v>63</v>
      </c>
      <c r="C106" s="46">
        <v>2014</v>
      </c>
      <c r="D106" s="1">
        <f t="shared" si="36"/>
        <v>0</v>
      </c>
      <c r="E106" s="154"/>
      <c r="F106" s="154"/>
      <c r="I106" s="154"/>
      <c r="J106" s="154"/>
      <c r="K106" s="154"/>
      <c r="L106" s="154"/>
      <c r="M106" s="154"/>
      <c r="N106" s="267">
        <f t="shared" si="37"/>
        <v>0</v>
      </c>
      <c r="P106" s="96">
        <f t="shared" si="38"/>
        <v>0</v>
      </c>
      <c r="Q106" s="97">
        <f t="shared" si="39"/>
        <v>0</v>
      </c>
      <c r="R106" s="154"/>
      <c r="S106" s="154">
        <f>0</f>
        <v>0</v>
      </c>
      <c r="T106" s="154"/>
      <c r="U106" s="154"/>
      <c r="V106" s="154"/>
      <c r="W106" s="154"/>
      <c r="X106" s="154"/>
      <c r="Y106" s="215">
        <f t="shared" si="40"/>
        <v>0</v>
      </c>
      <c r="Z106" s="152"/>
      <c r="AA106" s="96">
        <f t="shared" si="41"/>
        <v>0</v>
      </c>
      <c r="AB106" s="97">
        <f t="shared" si="42"/>
        <v>0</v>
      </c>
      <c r="AE106" s="287"/>
      <c r="AF106" s="287"/>
      <c r="AG106" s="287"/>
      <c r="AH106" s="287"/>
      <c r="AI106" s="120"/>
      <c r="AJ106" s="96">
        <f t="shared" si="43"/>
        <v>0</v>
      </c>
      <c r="AK106" s="97">
        <f t="shared" si="44"/>
        <v>0</v>
      </c>
      <c r="AL106" s="101"/>
      <c r="AM106" s="151"/>
      <c r="AN106" s="151"/>
      <c r="AO106" s="151"/>
      <c r="AP106" s="151"/>
      <c r="AQ106" s="151"/>
      <c r="AR106" s="151"/>
      <c r="AS106" s="13"/>
      <c r="AT106" s="95"/>
      <c r="AU106" s="96"/>
      <c r="AV106" s="97"/>
    </row>
    <row r="107" spans="1:48" x14ac:dyDescent="0.25">
      <c r="A107" s="11" t="s">
        <v>113</v>
      </c>
      <c r="B107" s="60" t="s">
        <v>63</v>
      </c>
      <c r="C107" s="62">
        <v>2014</v>
      </c>
      <c r="D107" s="1">
        <f t="shared" si="36"/>
        <v>292</v>
      </c>
      <c r="E107" s="283">
        <f>34</f>
        <v>34</v>
      </c>
      <c r="H107" s="290"/>
      <c r="I107" s="261">
        <f>58</f>
        <v>58</v>
      </c>
      <c r="J107" s="246">
        <v>44</v>
      </c>
      <c r="K107" s="241">
        <f>32+4</f>
        <v>36</v>
      </c>
      <c r="N107" s="267">
        <f t="shared" si="37"/>
        <v>120</v>
      </c>
      <c r="P107" s="96">
        <f t="shared" si="38"/>
        <v>258</v>
      </c>
      <c r="Q107" s="97">
        <f t="shared" si="39"/>
        <v>258</v>
      </c>
      <c r="S107" s="201">
        <f>46+4</f>
        <v>50</v>
      </c>
      <c r="T107" s="192">
        <f>0</f>
        <v>0</v>
      </c>
      <c r="U107" s="183">
        <f>3</f>
        <v>3</v>
      </c>
      <c r="V107" s="168">
        <f>0+3</f>
        <v>3</v>
      </c>
      <c r="W107" s="50">
        <f>15+3+6</f>
        <v>24</v>
      </c>
      <c r="X107" s="50">
        <f>6</f>
        <v>6</v>
      </c>
      <c r="Y107" s="215">
        <f t="shared" si="40"/>
        <v>34</v>
      </c>
      <c r="Z107" s="120"/>
      <c r="AA107" s="96">
        <f t="shared" si="41"/>
        <v>120</v>
      </c>
      <c r="AB107" s="97">
        <f t="shared" si="42"/>
        <v>120</v>
      </c>
      <c r="AC107" s="290"/>
      <c r="AD107" s="290"/>
      <c r="AF107" s="50">
        <f>12</f>
        <v>12</v>
      </c>
      <c r="AH107" s="50">
        <f>AV107</f>
        <v>22</v>
      </c>
      <c r="AI107" s="120"/>
      <c r="AJ107" s="96">
        <f t="shared" si="43"/>
        <v>34</v>
      </c>
      <c r="AK107" s="97">
        <f t="shared" si="44"/>
        <v>34</v>
      </c>
      <c r="AL107" s="22"/>
      <c r="AM107" s="41"/>
      <c r="AN107" s="41">
        <v>0</v>
      </c>
      <c r="AO107" s="41">
        <f>18</f>
        <v>18</v>
      </c>
      <c r="AP107" s="41">
        <f>0</f>
        <v>0</v>
      </c>
      <c r="AQ107" s="41">
        <f>0</f>
        <v>0</v>
      </c>
      <c r="AR107" s="41"/>
      <c r="AS107" s="13">
        <f>4</f>
        <v>4</v>
      </c>
      <c r="AT107" s="95"/>
      <c r="AU107" s="96">
        <f>SUM(AM107:AS107)</f>
        <v>22</v>
      </c>
      <c r="AV107" s="97">
        <f>IF(C107=2015, AU107/3,AU107)+AT107</f>
        <v>22</v>
      </c>
    </row>
    <row r="108" spans="1:48" x14ac:dyDescent="0.25">
      <c r="A108" s="45" t="s">
        <v>862</v>
      </c>
      <c r="B108" s="66" t="s">
        <v>476</v>
      </c>
      <c r="C108" s="46">
        <v>2014</v>
      </c>
      <c r="D108" s="1">
        <f t="shared" si="36"/>
        <v>3</v>
      </c>
      <c r="E108" s="154"/>
      <c r="F108" s="154"/>
      <c r="I108" s="154"/>
      <c r="J108" s="154"/>
      <c r="K108" s="154"/>
      <c r="L108" s="154"/>
      <c r="M108" s="154"/>
      <c r="N108" s="267">
        <f t="shared" si="37"/>
        <v>3</v>
      </c>
      <c r="P108" s="96">
        <f t="shared" si="38"/>
        <v>3</v>
      </c>
      <c r="Q108" s="97">
        <f t="shared" si="39"/>
        <v>3</v>
      </c>
      <c r="R108" s="154"/>
      <c r="S108" s="154"/>
      <c r="T108" s="154"/>
      <c r="U108" s="154"/>
      <c r="V108" s="154"/>
      <c r="W108" s="154">
        <f>2+1</f>
        <v>3</v>
      </c>
      <c r="X108" s="154"/>
      <c r="Y108" s="215">
        <f t="shared" si="40"/>
        <v>0</v>
      </c>
      <c r="Z108" s="152"/>
      <c r="AA108" s="96">
        <f t="shared" si="41"/>
        <v>3</v>
      </c>
      <c r="AB108" s="97">
        <f t="shared" si="42"/>
        <v>3</v>
      </c>
      <c r="AE108" s="287"/>
      <c r="AF108" s="287"/>
      <c r="AG108" s="287"/>
      <c r="AH108" s="287"/>
      <c r="AI108" s="120"/>
      <c r="AJ108" s="96">
        <f t="shared" si="43"/>
        <v>0</v>
      </c>
      <c r="AK108" s="97">
        <f t="shared" si="44"/>
        <v>0</v>
      </c>
      <c r="AL108" s="101"/>
      <c r="AM108" s="151"/>
      <c r="AN108" s="151"/>
      <c r="AO108" s="151"/>
      <c r="AP108" s="151"/>
      <c r="AQ108" s="151"/>
      <c r="AR108" s="151"/>
      <c r="AS108" s="13"/>
      <c r="AT108" s="95"/>
      <c r="AU108" s="96"/>
      <c r="AV108" s="97"/>
    </row>
    <row r="109" spans="1:48" x14ac:dyDescent="0.25">
      <c r="A109" s="45" t="s">
        <v>83</v>
      </c>
      <c r="B109" s="66" t="s">
        <v>64</v>
      </c>
      <c r="C109" s="46">
        <v>2015</v>
      </c>
      <c r="D109" s="1">
        <f t="shared" si="36"/>
        <v>169</v>
      </c>
      <c r="E109" s="283">
        <f>48</f>
        <v>48</v>
      </c>
      <c r="H109" s="290"/>
      <c r="I109" s="261">
        <f>16+26</f>
        <v>42</v>
      </c>
      <c r="J109" s="261">
        <f>42</f>
        <v>42</v>
      </c>
      <c r="K109" s="261">
        <f>27</f>
        <v>27</v>
      </c>
      <c r="L109" s="261">
        <f>0</f>
        <v>0</v>
      </c>
      <c r="M109" s="261"/>
      <c r="N109" s="267">
        <f t="shared" si="37"/>
        <v>10</v>
      </c>
      <c r="P109" s="96">
        <f t="shared" si="38"/>
        <v>121</v>
      </c>
      <c r="Q109" s="97">
        <f t="shared" si="39"/>
        <v>121</v>
      </c>
      <c r="R109" s="261"/>
      <c r="S109" s="261"/>
      <c r="T109" s="261"/>
      <c r="U109" s="261"/>
      <c r="V109" s="261"/>
      <c r="W109" s="261"/>
      <c r="X109" s="261"/>
      <c r="Y109" s="215">
        <f t="shared" si="40"/>
        <v>10</v>
      </c>
      <c r="Z109" s="120"/>
      <c r="AA109" s="96">
        <f t="shared" si="41"/>
        <v>10</v>
      </c>
      <c r="AB109" s="97">
        <f t="shared" si="42"/>
        <v>10</v>
      </c>
      <c r="AC109" s="290"/>
      <c r="AD109" s="290"/>
      <c r="AE109" s="261"/>
      <c r="AF109" s="261"/>
      <c r="AG109" s="261"/>
      <c r="AH109" s="261">
        <f>AV109</f>
        <v>10</v>
      </c>
      <c r="AI109" s="120"/>
      <c r="AJ109" s="96">
        <f t="shared" si="43"/>
        <v>10</v>
      </c>
      <c r="AK109" s="97">
        <f t="shared" si="44"/>
        <v>10</v>
      </c>
      <c r="AL109" s="101"/>
      <c r="AM109" s="41"/>
      <c r="AN109" s="41">
        <v>0</v>
      </c>
      <c r="AO109" s="41">
        <f>30</f>
        <v>30</v>
      </c>
      <c r="AP109" s="41"/>
      <c r="AQ109" s="41"/>
      <c r="AR109" s="41"/>
      <c r="AS109" s="13"/>
      <c r="AT109" s="95"/>
      <c r="AU109" s="96">
        <f>SUM(AM109:AS109)</f>
        <v>30</v>
      </c>
      <c r="AV109" s="97">
        <f>IF(C109=2015, AU109/3,AU109)+AT109</f>
        <v>10</v>
      </c>
    </row>
    <row r="110" spans="1:48" x14ac:dyDescent="0.25">
      <c r="A110" s="11" t="s">
        <v>486</v>
      </c>
      <c r="B110" s="11" t="s">
        <v>7</v>
      </c>
      <c r="C110" s="3">
        <v>2014</v>
      </c>
      <c r="D110" s="1">
        <f t="shared" si="36"/>
        <v>99</v>
      </c>
      <c r="E110" s="287"/>
      <c r="F110" s="287"/>
      <c r="H110" s="290"/>
      <c r="I110" s="287"/>
      <c r="J110" s="287"/>
      <c r="K110" s="287"/>
      <c r="L110" s="287"/>
      <c r="M110" s="287"/>
      <c r="N110" s="267">
        <f t="shared" si="37"/>
        <v>99</v>
      </c>
      <c r="P110" s="96">
        <f t="shared" si="38"/>
        <v>99</v>
      </c>
      <c r="Q110" s="97">
        <f t="shared" si="39"/>
        <v>99</v>
      </c>
      <c r="R110" s="287"/>
      <c r="S110" s="287"/>
      <c r="T110" s="287"/>
      <c r="U110" s="287"/>
      <c r="V110" s="287"/>
      <c r="W110" s="287"/>
      <c r="X110" s="287"/>
      <c r="Y110" s="215">
        <f t="shared" si="40"/>
        <v>99</v>
      </c>
      <c r="Z110" s="120"/>
      <c r="AA110" s="96">
        <f t="shared" si="41"/>
        <v>99</v>
      </c>
      <c r="AB110" s="97">
        <f t="shared" si="42"/>
        <v>99</v>
      </c>
      <c r="AC110" s="290"/>
      <c r="AD110" s="290"/>
      <c r="AE110" s="287">
        <f>8+24</f>
        <v>32</v>
      </c>
      <c r="AF110" s="287">
        <f>12</f>
        <v>12</v>
      </c>
      <c r="AG110" s="287">
        <f>16+21+1</f>
        <v>38</v>
      </c>
      <c r="AH110" s="287">
        <f>AV110</f>
        <v>17</v>
      </c>
      <c r="AI110" s="120"/>
      <c r="AJ110" s="96">
        <f t="shared" si="43"/>
        <v>99</v>
      </c>
      <c r="AK110" s="97">
        <f t="shared" si="44"/>
        <v>99</v>
      </c>
      <c r="AL110" s="22"/>
      <c r="AM110" s="287"/>
      <c r="AN110" s="287"/>
      <c r="AO110" s="287"/>
      <c r="AP110" s="287"/>
      <c r="AQ110" s="287"/>
      <c r="AR110" s="287">
        <f>0+15+2</f>
        <v>17</v>
      </c>
      <c r="AS110" s="285"/>
      <c r="AT110" s="95"/>
      <c r="AU110" s="96">
        <f>SUM(AM110:AS110)</f>
        <v>17</v>
      </c>
      <c r="AV110" s="97">
        <f>IF(C110=2015, AU110/3,AU110)+AT110</f>
        <v>17</v>
      </c>
    </row>
    <row r="111" spans="1:48" x14ac:dyDescent="0.25">
      <c r="A111" s="45" t="s">
        <v>961</v>
      </c>
      <c r="B111" s="66" t="s">
        <v>938</v>
      </c>
      <c r="C111" s="46">
        <v>2014</v>
      </c>
      <c r="D111" s="1">
        <f t="shared" si="36"/>
        <v>139</v>
      </c>
      <c r="E111" s="154">
        <f>50+33</f>
        <v>83</v>
      </c>
      <c r="F111" s="154"/>
      <c r="I111" s="154"/>
      <c r="J111" s="154"/>
      <c r="K111" s="154"/>
      <c r="L111" s="154"/>
      <c r="M111" s="154"/>
      <c r="N111" s="267">
        <f t="shared" si="37"/>
        <v>56</v>
      </c>
      <c r="P111" s="96">
        <f t="shared" si="38"/>
        <v>56</v>
      </c>
      <c r="Q111" s="97">
        <f t="shared" si="39"/>
        <v>56</v>
      </c>
      <c r="R111" s="154"/>
      <c r="S111" s="154"/>
      <c r="T111" s="154">
        <f>44+12</f>
        <v>56</v>
      </c>
      <c r="U111" s="154"/>
      <c r="V111" s="154"/>
      <c r="W111" s="154"/>
      <c r="X111" s="154"/>
      <c r="Y111" s="215">
        <f t="shared" si="40"/>
        <v>0</v>
      </c>
      <c r="Z111" s="152"/>
      <c r="AA111" s="96">
        <f t="shared" si="41"/>
        <v>56</v>
      </c>
      <c r="AB111" s="97">
        <f t="shared" si="42"/>
        <v>56</v>
      </c>
      <c r="AI111" s="120"/>
      <c r="AJ111" s="96">
        <f t="shared" si="43"/>
        <v>0</v>
      </c>
      <c r="AK111" s="97">
        <f t="shared" si="44"/>
        <v>0</v>
      </c>
      <c r="AL111" s="101"/>
      <c r="AM111" s="151"/>
      <c r="AN111" s="151"/>
      <c r="AO111" s="151"/>
      <c r="AP111" s="151"/>
      <c r="AQ111" s="151"/>
      <c r="AR111" s="151"/>
      <c r="AS111" s="13"/>
      <c r="AT111" s="95"/>
      <c r="AU111" s="96"/>
      <c r="AV111" s="97"/>
    </row>
    <row r="112" spans="1:48" x14ac:dyDescent="0.25">
      <c r="A112" s="45" t="s">
        <v>963</v>
      </c>
      <c r="B112" s="66" t="s">
        <v>938</v>
      </c>
      <c r="C112" s="46">
        <v>2014</v>
      </c>
      <c r="D112" s="1">
        <f t="shared" si="36"/>
        <v>16</v>
      </c>
      <c r="E112" s="154">
        <f>16</f>
        <v>16</v>
      </c>
      <c r="F112" s="154"/>
      <c r="I112" s="154"/>
      <c r="J112" s="154"/>
      <c r="K112" s="154"/>
      <c r="L112" s="154"/>
      <c r="M112" s="154"/>
      <c r="N112" s="267">
        <f t="shared" si="37"/>
        <v>0</v>
      </c>
      <c r="P112" s="96">
        <f t="shared" si="38"/>
        <v>0</v>
      </c>
      <c r="Q112" s="97">
        <f t="shared" si="39"/>
        <v>0</v>
      </c>
      <c r="R112" s="154"/>
      <c r="S112" s="154"/>
      <c r="T112" s="154">
        <f>0</f>
        <v>0</v>
      </c>
      <c r="U112" s="154"/>
      <c r="V112" s="154"/>
      <c r="W112" s="154"/>
      <c r="X112" s="154"/>
      <c r="Y112" s="215">
        <f t="shared" si="40"/>
        <v>0</v>
      </c>
      <c r="Z112" s="152"/>
      <c r="AA112" s="96">
        <f t="shared" si="41"/>
        <v>0</v>
      </c>
      <c r="AB112" s="97">
        <f t="shared" si="42"/>
        <v>0</v>
      </c>
      <c r="AE112" s="287"/>
      <c r="AF112" s="287"/>
      <c r="AG112" s="287"/>
      <c r="AH112" s="287"/>
      <c r="AI112" s="120"/>
      <c r="AJ112" s="96">
        <f t="shared" si="43"/>
        <v>0</v>
      </c>
      <c r="AK112" s="97">
        <f t="shared" si="44"/>
        <v>0</v>
      </c>
      <c r="AL112" s="101"/>
      <c r="AM112" s="151"/>
      <c r="AN112" s="151"/>
      <c r="AO112" s="151"/>
      <c r="AP112" s="151"/>
      <c r="AQ112" s="151"/>
      <c r="AR112" s="151"/>
      <c r="AS112" s="13"/>
      <c r="AT112" s="95"/>
      <c r="AU112" s="96"/>
      <c r="AV112" s="97"/>
    </row>
    <row r="113" spans="1:48" x14ac:dyDescent="0.25">
      <c r="A113" s="11" t="s">
        <v>734</v>
      </c>
      <c r="B113" s="11" t="s">
        <v>63</v>
      </c>
      <c r="C113" s="3">
        <v>2014</v>
      </c>
      <c r="D113" s="1">
        <f t="shared" si="36"/>
        <v>39</v>
      </c>
      <c r="H113" s="280"/>
      <c r="K113" s="241">
        <f>0</f>
        <v>0</v>
      </c>
      <c r="N113" s="267">
        <f t="shared" si="37"/>
        <v>39</v>
      </c>
      <c r="P113" s="96">
        <f t="shared" si="38"/>
        <v>39</v>
      </c>
      <c r="Q113" s="97">
        <f t="shared" si="39"/>
        <v>39</v>
      </c>
      <c r="S113" s="201">
        <f>0</f>
        <v>0</v>
      </c>
      <c r="U113" s="183">
        <f>0</f>
        <v>0</v>
      </c>
      <c r="W113" s="50">
        <f>23</f>
        <v>23</v>
      </c>
      <c r="X113" s="50">
        <f>16</f>
        <v>16</v>
      </c>
      <c r="Y113" s="215">
        <f t="shared" si="40"/>
        <v>0</v>
      </c>
      <c r="Z113" s="152"/>
      <c r="AA113" s="96">
        <f t="shared" si="41"/>
        <v>39</v>
      </c>
      <c r="AB113" s="97">
        <f t="shared" si="42"/>
        <v>39</v>
      </c>
      <c r="AC113" s="257"/>
      <c r="AD113" s="257"/>
      <c r="AI113" s="120"/>
      <c r="AJ113" s="96">
        <f t="shared" si="43"/>
        <v>0</v>
      </c>
      <c r="AK113" s="97">
        <f t="shared" si="44"/>
        <v>0</v>
      </c>
      <c r="AL113" s="22"/>
      <c r="AM113" s="256"/>
      <c r="AN113" s="256"/>
      <c r="AO113" s="256"/>
      <c r="AP113" s="256"/>
      <c r="AQ113" s="256"/>
      <c r="AR113" s="256"/>
      <c r="AS113" s="254"/>
      <c r="AT113" s="95"/>
      <c r="AU113" s="96">
        <f>SUM(AM113:AS113)</f>
        <v>0</v>
      </c>
      <c r="AV113" s="97">
        <f>IF(C113=2015, AU113/3,AU113)+AT113</f>
        <v>0</v>
      </c>
    </row>
    <row r="114" spans="1:48" x14ac:dyDescent="0.25">
      <c r="A114" s="11" t="s">
        <v>620</v>
      </c>
      <c r="B114" s="11" t="s">
        <v>598</v>
      </c>
      <c r="D114" s="1">
        <f t="shared" si="36"/>
        <v>48</v>
      </c>
      <c r="H114" s="280"/>
      <c r="L114" s="231"/>
      <c r="M114" s="231"/>
      <c r="N114" s="267">
        <f t="shared" si="37"/>
        <v>48</v>
      </c>
      <c r="P114" s="96">
        <f t="shared" si="38"/>
        <v>48</v>
      </c>
      <c r="Q114" s="97">
        <f t="shared" si="39"/>
        <v>48</v>
      </c>
      <c r="R114" s="231"/>
      <c r="S114" s="231"/>
      <c r="T114" s="231"/>
      <c r="U114" s="231"/>
      <c r="V114" s="231"/>
      <c r="W114" s="231"/>
      <c r="X114" s="231"/>
      <c r="Y114" s="215">
        <f t="shared" si="40"/>
        <v>48</v>
      </c>
      <c r="Z114" s="152"/>
      <c r="AA114" s="96">
        <f t="shared" si="41"/>
        <v>48</v>
      </c>
      <c r="AB114" s="97">
        <f t="shared" si="42"/>
        <v>48</v>
      </c>
      <c r="AC114" s="205"/>
      <c r="AD114" s="205"/>
      <c r="AE114" s="231"/>
      <c r="AF114" s="231">
        <f>48</f>
        <v>48</v>
      </c>
      <c r="AG114" s="231"/>
      <c r="AH114" s="231"/>
      <c r="AI114" s="120"/>
      <c r="AJ114" s="96">
        <f t="shared" si="43"/>
        <v>48</v>
      </c>
      <c r="AK114" s="97">
        <f t="shared" si="44"/>
        <v>48</v>
      </c>
      <c r="AL114" s="22"/>
      <c r="AM114" s="287"/>
      <c r="AN114" s="287"/>
      <c r="AO114" s="287"/>
      <c r="AP114" s="287"/>
      <c r="AQ114" s="287"/>
      <c r="AR114" s="287"/>
      <c r="AS114" s="285"/>
      <c r="AT114" s="95"/>
      <c r="AU114" s="96">
        <f>SUM(AM114:AS114)</f>
        <v>0</v>
      </c>
      <c r="AV114" s="97">
        <f>IF(C114=2015, AU114/3,AU114)+AT114</f>
        <v>0</v>
      </c>
    </row>
    <row r="115" spans="1:48" x14ac:dyDescent="0.25">
      <c r="A115" s="45" t="s">
        <v>290</v>
      </c>
      <c r="B115" s="66" t="s">
        <v>63</v>
      </c>
      <c r="C115" s="46">
        <v>2017</v>
      </c>
      <c r="D115" s="1">
        <f t="shared" si="36"/>
        <v>0</v>
      </c>
      <c r="E115" s="108"/>
      <c r="F115" s="108"/>
      <c r="H115" s="101"/>
      <c r="I115" s="108"/>
      <c r="J115" s="108"/>
      <c r="K115" s="108"/>
      <c r="L115" s="108"/>
      <c r="M115" s="108"/>
      <c r="N115" s="267">
        <f t="shared" si="37"/>
        <v>0</v>
      </c>
      <c r="P115" s="96">
        <f t="shared" si="38"/>
        <v>0</v>
      </c>
      <c r="Q115" s="97">
        <f t="shared" si="39"/>
        <v>0</v>
      </c>
      <c r="R115" s="108"/>
      <c r="S115" s="108"/>
      <c r="T115" s="108"/>
      <c r="U115" s="108"/>
      <c r="V115" s="108"/>
      <c r="W115" s="108"/>
      <c r="X115" s="108"/>
      <c r="Y115" s="215">
        <f t="shared" si="40"/>
        <v>0</v>
      </c>
      <c r="Z115" s="122"/>
      <c r="AA115" s="96">
        <f t="shared" si="41"/>
        <v>0</v>
      </c>
      <c r="AB115" s="97">
        <f t="shared" si="42"/>
        <v>0</v>
      </c>
      <c r="AC115" s="101"/>
      <c r="AD115" s="108"/>
      <c r="AE115" s="108"/>
      <c r="AF115" s="108"/>
      <c r="AG115" s="108"/>
      <c r="AH115" s="108">
        <f>AV115</f>
        <v>0</v>
      </c>
      <c r="AI115" s="122"/>
      <c r="AJ115" s="96">
        <f t="shared" si="43"/>
        <v>0</v>
      </c>
      <c r="AK115" s="97">
        <f t="shared" si="44"/>
        <v>0</v>
      </c>
      <c r="AL115" s="101"/>
      <c r="AM115" s="41"/>
      <c r="AN115" s="41"/>
      <c r="AO115" s="41">
        <f>0</f>
        <v>0</v>
      </c>
      <c r="AP115" s="41"/>
      <c r="AQ115" s="41"/>
      <c r="AR115" s="41"/>
      <c r="AS115" s="13"/>
      <c r="AU115" s="3">
        <f>SUM(AM115:AT115)</f>
        <v>0</v>
      </c>
      <c r="AV115" s="3">
        <f>AU115</f>
        <v>0</v>
      </c>
    </row>
    <row r="116" spans="1:48" x14ac:dyDescent="0.25">
      <c r="A116" s="11" t="s">
        <v>1211</v>
      </c>
      <c r="B116" s="66" t="s">
        <v>834</v>
      </c>
      <c r="D116" s="1">
        <f t="shared" si="36"/>
        <v>33</v>
      </c>
      <c r="I116" s="261">
        <f>13</f>
        <v>13</v>
      </c>
      <c r="K116" s="241">
        <f>20</f>
        <v>20</v>
      </c>
      <c r="N116" s="267">
        <f t="shared" si="37"/>
        <v>0</v>
      </c>
      <c r="P116" s="96">
        <f t="shared" si="38"/>
        <v>33</v>
      </c>
      <c r="Q116" s="97">
        <f t="shared" si="39"/>
        <v>33</v>
      </c>
      <c r="U116" s="187"/>
      <c r="V116" s="187"/>
      <c r="W116" s="187"/>
      <c r="X116" s="187"/>
      <c r="Z116" s="152"/>
      <c r="AA116" s="96"/>
      <c r="AB116" s="97"/>
      <c r="AE116" s="187"/>
      <c r="AF116" s="187"/>
      <c r="AG116" s="187"/>
      <c r="AH116" s="187"/>
      <c r="AI116" s="120"/>
      <c r="AJ116" s="96"/>
      <c r="AK116" s="97"/>
      <c r="AL116" s="22"/>
      <c r="AM116" s="287"/>
      <c r="AN116" s="287"/>
      <c r="AO116" s="287"/>
      <c r="AP116" s="287"/>
      <c r="AQ116" s="287"/>
      <c r="AR116" s="287"/>
      <c r="AS116" s="285"/>
      <c r="AT116" s="95"/>
      <c r="AU116" s="96"/>
      <c r="AV116" s="97"/>
    </row>
    <row r="117" spans="1:48" x14ac:dyDescent="0.25">
      <c r="A117" s="45" t="s">
        <v>70</v>
      </c>
      <c r="B117" s="66" t="s">
        <v>63</v>
      </c>
      <c r="C117" s="46">
        <v>2016</v>
      </c>
      <c r="D117" s="1">
        <f t="shared" si="36"/>
        <v>4</v>
      </c>
      <c r="E117" s="154"/>
      <c r="F117" s="154"/>
      <c r="H117" s="280"/>
      <c r="I117" s="154"/>
      <c r="J117" s="154"/>
      <c r="K117" s="154"/>
      <c r="L117" s="154"/>
      <c r="M117" s="154"/>
      <c r="N117" s="267">
        <f t="shared" si="37"/>
        <v>4</v>
      </c>
      <c r="P117" s="96">
        <f t="shared" si="38"/>
        <v>4</v>
      </c>
      <c r="Q117" s="97">
        <f t="shared" si="39"/>
        <v>4</v>
      </c>
      <c r="R117" s="154"/>
      <c r="S117" s="154"/>
      <c r="T117" s="154"/>
      <c r="U117" s="154"/>
      <c r="V117" s="154"/>
      <c r="W117" s="154"/>
      <c r="X117" s="154"/>
      <c r="Y117" s="215">
        <f t="shared" ref="Y117:Y122" si="45">AK117</f>
        <v>4</v>
      </c>
      <c r="Z117" s="122"/>
      <c r="AA117" s="96">
        <f t="shared" ref="AA117:AA122" si="46">AM117+S117+T117+U117+V117+W117+X117+Y117</f>
        <v>4</v>
      </c>
      <c r="AB117" s="97">
        <f t="shared" ref="AB117:AB122" si="47">IF(C117=2017, AA117/3,AA117)+Z117</f>
        <v>4</v>
      </c>
      <c r="AC117" s="205"/>
      <c r="AD117" s="205"/>
      <c r="AE117" s="108"/>
      <c r="AF117" s="108"/>
      <c r="AG117" s="108"/>
      <c r="AH117" s="108">
        <f>AV117</f>
        <v>12</v>
      </c>
      <c r="AI117" s="122"/>
      <c r="AJ117" s="96">
        <f t="shared" ref="AJ117:AJ122" si="48">SUM(AE117:AH117)</f>
        <v>12</v>
      </c>
      <c r="AK117" s="97">
        <f t="shared" ref="AK117:AK122" si="49">IF(C117=2016, AJ117/3,AJ117)+AI117</f>
        <v>4</v>
      </c>
      <c r="AL117" s="101"/>
      <c r="AM117" s="41"/>
      <c r="AN117" s="41">
        <v>12</v>
      </c>
      <c r="AO117" s="41"/>
      <c r="AP117" s="41"/>
      <c r="AQ117" s="41"/>
      <c r="AR117" s="41"/>
      <c r="AS117" s="286"/>
      <c r="AU117" s="96">
        <f>SUM(AM117:AS117)</f>
        <v>12</v>
      </c>
      <c r="AV117" s="97">
        <f>IF(C117=2015, AU117/3,AU117)+AT117</f>
        <v>12</v>
      </c>
    </row>
    <row r="118" spans="1:48" x14ac:dyDescent="0.25">
      <c r="A118" s="45" t="s">
        <v>925</v>
      </c>
      <c r="B118" s="66" t="s">
        <v>63</v>
      </c>
      <c r="C118" s="46">
        <v>2015</v>
      </c>
      <c r="D118" s="1">
        <f t="shared" si="36"/>
        <v>204</v>
      </c>
      <c r="H118" s="290"/>
      <c r="J118" s="256">
        <v>18</v>
      </c>
      <c r="K118" s="256">
        <f>0</f>
        <v>0</v>
      </c>
      <c r="L118" s="256"/>
      <c r="M118" s="256"/>
      <c r="N118" s="267">
        <f t="shared" si="37"/>
        <v>186</v>
      </c>
      <c r="P118" s="96">
        <f t="shared" si="38"/>
        <v>204</v>
      </c>
      <c r="Q118" s="97">
        <f t="shared" si="39"/>
        <v>204</v>
      </c>
      <c r="R118" s="256"/>
      <c r="S118" s="256"/>
      <c r="T118" s="256">
        <f>22</f>
        <v>22</v>
      </c>
      <c r="U118" s="256">
        <f>0+6</f>
        <v>6</v>
      </c>
      <c r="V118" s="256">
        <f>16+4</f>
        <v>20</v>
      </c>
      <c r="W118" s="256">
        <f>72+4</f>
        <v>76</v>
      </c>
      <c r="X118" s="256">
        <f>0</f>
        <v>0</v>
      </c>
      <c r="Y118" s="215">
        <f t="shared" si="45"/>
        <v>62</v>
      </c>
      <c r="Z118" s="120"/>
      <c r="AA118" s="96">
        <f t="shared" si="46"/>
        <v>186</v>
      </c>
      <c r="AB118" s="97">
        <f t="shared" si="47"/>
        <v>186</v>
      </c>
      <c r="AC118" s="290"/>
      <c r="AD118" s="290"/>
      <c r="AE118" s="256"/>
      <c r="AF118" s="256">
        <f>43</f>
        <v>43</v>
      </c>
      <c r="AG118" s="256"/>
      <c r="AH118" s="256">
        <f>AV118</f>
        <v>19</v>
      </c>
      <c r="AI118" s="120"/>
      <c r="AJ118" s="96">
        <f t="shared" si="48"/>
        <v>62</v>
      </c>
      <c r="AK118" s="97">
        <f t="shared" si="49"/>
        <v>62</v>
      </c>
      <c r="AL118" s="101"/>
      <c r="AM118" s="41"/>
      <c r="AN118" s="41">
        <v>39</v>
      </c>
      <c r="AO118" s="41">
        <f>18</f>
        <v>18</v>
      </c>
      <c r="AP118" s="41">
        <f>0</f>
        <v>0</v>
      </c>
      <c r="AQ118" s="41"/>
      <c r="AR118" s="41"/>
      <c r="AS118" s="286"/>
      <c r="AT118" s="95"/>
      <c r="AU118" s="96">
        <f>SUM(AM118:AS118)</f>
        <v>57</v>
      </c>
      <c r="AV118" s="97">
        <f>IF(C118=2015, AU118/3,AU118)+AT118</f>
        <v>19</v>
      </c>
    </row>
    <row r="119" spans="1:48" x14ac:dyDescent="0.25">
      <c r="A119" s="11" t="s">
        <v>867</v>
      </c>
      <c r="B119" s="11" t="s">
        <v>476</v>
      </c>
      <c r="C119" s="3">
        <v>2016</v>
      </c>
      <c r="D119" s="1">
        <f t="shared" si="36"/>
        <v>1</v>
      </c>
      <c r="E119" s="287"/>
      <c r="F119" s="287"/>
      <c r="I119" s="287"/>
      <c r="J119" s="287"/>
      <c r="K119" s="287"/>
      <c r="L119" s="287"/>
      <c r="M119" s="287"/>
      <c r="N119" s="267">
        <f t="shared" si="37"/>
        <v>1</v>
      </c>
      <c r="P119" s="96">
        <f t="shared" si="38"/>
        <v>1</v>
      </c>
      <c r="Q119" s="97">
        <f t="shared" si="39"/>
        <v>1</v>
      </c>
      <c r="R119" s="287"/>
      <c r="S119" s="287"/>
      <c r="T119" s="287"/>
      <c r="U119" s="287"/>
      <c r="V119" s="287"/>
      <c r="W119" s="287">
        <f>1</f>
        <v>1</v>
      </c>
      <c r="X119" s="287"/>
      <c r="Y119" s="215">
        <f t="shared" si="45"/>
        <v>0</v>
      </c>
      <c r="Z119" s="152"/>
      <c r="AA119" s="96">
        <f t="shared" si="46"/>
        <v>1</v>
      </c>
      <c r="AB119" s="97">
        <f t="shared" si="47"/>
        <v>1</v>
      </c>
      <c r="AE119" s="287"/>
      <c r="AF119" s="287"/>
      <c r="AG119" s="287"/>
      <c r="AH119" s="287"/>
      <c r="AI119" s="120"/>
      <c r="AJ119" s="96">
        <f t="shared" si="48"/>
        <v>0</v>
      </c>
      <c r="AK119" s="97">
        <f t="shared" si="49"/>
        <v>0</v>
      </c>
      <c r="AL119" s="22"/>
      <c r="AM119" s="287"/>
      <c r="AN119" s="287"/>
      <c r="AO119" s="287"/>
      <c r="AP119" s="287"/>
      <c r="AQ119" s="287"/>
      <c r="AR119" s="287"/>
      <c r="AS119" s="285"/>
      <c r="AT119" s="95"/>
      <c r="AU119" s="96"/>
      <c r="AV119" s="97"/>
    </row>
    <row r="120" spans="1:48" x14ac:dyDescent="0.25">
      <c r="A120" s="11" t="s">
        <v>321</v>
      </c>
      <c r="B120" s="60" t="s">
        <v>111</v>
      </c>
      <c r="C120" s="62">
        <v>2014</v>
      </c>
      <c r="D120" s="1">
        <f t="shared" si="36"/>
        <v>2</v>
      </c>
      <c r="E120" s="287"/>
      <c r="F120" s="287"/>
      <c r="H120" s="290"/>
      <c r="I120" s="287"/>
      <c r="J120" s="287"/>
      <c r="K120" s="287"/>
      <c r="L120" s="287"/>
      <c r="M120" s="287"/>
      <c r="N120" s="267">
        <f t="shared" si="37"/>
        <v>2</v>
      </c>
      <c r="P120" s="96">
        <f t="shared" si="38"/>
        <v>2</v>
      </c>
      <c r="Q120" s="97">
        <f t="shared" si="39"/>
        <v>2</v>
      </c>
      <c r="R120" s="287"/>
      <c r="S120" s="287"/>
      <c r="T120" s="287"/>
      <c r="U120" s="287"/>
      <c r="V120" s="287"/>
      <c r="W120" s="287"/>
      <c r="X120" s="287"/>
      <c r="Y120" s="215">
        <f t="shared" si="45"/>
        <v>2</v>
      </c>
      <c r="Z120" s="120"/>
      <c r="AA120" s="96">
        <f t="shared" si="46"/>
        <v>2</v>
      </c>
      <c r="AB120" s="97">
        <f t="shared" si="47"/>
        <v>2</v>
      </c>
      <c r="AC120" s="290"/>
      <c r="AD120" s="290"/>
      <c r="AE120" s="287"/>
      <c r="AF120" s="287"/>
      <c r="AG120" s="287"/>
      <c r="AH120" s="287">
        <f>AV120</f>
        <v>2</v>
      </c>
      <c r="AI120" s="120"/>
      <c r="AJ120" s="96">
        <f t="shared" si="48"/>
        <v>2</v>
      </c>
      <c r="AK120" s="97">
        <f t="shared" si="49"/>
        <v>2</v>
      </c>
      <c r="AL120" s="22"/>
      <c r="AM120" s="41"/>
      <c r="AN120" s="41"/>
      <c r="AO120" s="41"/>
      <c r="AP120" s="41">
        <f>0+2</f>
        <v>2</v>
      </c>
      <c r="AQ120" s="41"/>
      <c r="AR120" s="41"/>
      <c r="AS120" s="13"/>
      <c r="AT120" s="95"/>
      <c r="AU120" s="96">
        <f>SUM(AM120:AS120)</f>
        <v>2</v>
      </c>
      <c r="AV120" s="97">
        <f>IF(C120=2015, AU120/3,AU120)+AT120</f>
        <v>2</v>
      </c>
    </row>
    <row r="121" spans="1:48" x14ac:dyDescent="0.25">
      <c r="A121" s="45" t="s">
        <v>426</v>
      </c>
      <c r="B121" s="66" t="s">
        <v>0</v>
      </c>
      <c r="C121" s="46">
        <v>2016</v>
      </c>
      <c r="D121" s="1">
        <f t="shared" si="36"/>
        <v>139.33333333333334</v>
      </c>
      <c r="E121" s="154"/>
      <c r="F121" s="154"/>
      <c r="H121" s="280"/>
      <c r="I121" s="154"/>
      <c r="J121" s="154"/>
      <c r="K121" s="154"/>
      <c r="L121" s="154">
        <f>8</f>
        <v>8</v>
      </c>
      <c r="M121" s="154"/>
      <c r="N121" s="267">
        <f t="shared" si="37"/>
        <v>131.33333333333334</v>
      </c>
      <c r="P121" s="96">
        <f t="shared" si="38"/>
        <v>139.33333333333334</v>
      </c>
      <c r="Q121" s="97">
        <f t="shared" si="39"/>
        <v>139.33333333333334</v>
      </c>
      <c r="R121" s="154"/>
      <c r="S121" s="154">
        <f>30</f>
        <v>30</v>
      </c>
      <c r="T121" s="154">
        <f>50+10</f>
        <v>60</v>
      </c>
      <c r="U121" s="154">
        <f>26+2</f>
        <v>28</v>
      </c>
      <c r="V121" s="154"/>
      <c r="W121" s="154"/>
      <c r="X121" s="154"/>
      <c r="Y121" s="215">
        <f t="shared" si="45"/>
        <v>13.333333333333334</v>
      </c>
      <c r="Z121" s="122"/>
      <c r="AA121" s="96">
        <f t="shared" si="46"/>
        <v>131.33333333333334</v>
      </c>
      <c r="AB121" s="97">
        <f t="shared" si="47"/>
        <v>131.33333333333334</v>
      </c>
      <c r="AC121" s="205"/>
      <c r="AD121" s="205"/>
      <c r="AE121" s="108"/>
      <c r="AF121" s="108">
        <f>12</f>
        <v>12</v>
      </c>
      <c r="AG121" s="108">
        <f>15</f>
        <v>15</v>
      </c>
      <c r="AH121" s="108">
        <f>AV121</f>
        <v>13</v>
      </c>
      <c r="AI121" s="122"/>
      <c r="AJ121" s="96">
        <f t="shared" si="48"/>
        <v>40</v>
      </c>
      <c r="AK121" s="97">
        <f t="shared" si="49"/>
        <v>13.333333333333334</v>
      </c>
      <c r="AL121" s="101"/>
      <c r="AM121" s="41"/>
      <c r="AN121" s="41"/>
      <c r="AO121" s="41"/>
      <c r="AP121" s="41"/>
      <c r="AQ121" s="41">
        <f>8</f>
        <v>8</v>
      </c>
      <c r="AR121" s="41">
        <f>5</f>
        <v>5</v>
      </c>
      <c r="AS121" s="286"/>
      <c r="AU121" s="96">
        <f>SUM(AM121:AS121)</f>
        <v>13</v>
      </c>
      <c r="AV121" s="97">
        <f>IF(C121=2015, AU121/3,AU121)+AT121</f>
        <v>13</v>
      </c>
    </row>
    <row r="122" spans="1:48" x14ac:dyDescent="0.25">
      <c r="A122" s="45" t="s">
        <v>599</v>
      </c>
      <c r="B122" s="66" t="s">
        <v>0</v>
      </c>
      <c r="C122" s="46">
        <v>2016</v>
      </c>
      <c r="D122" s="1">
        <f t="shared" si="36"/>
        <v>5.666666666666667</v>
      </c>
      <c r="E122" s="154"/>
      <c r="F122" s="154"/>
      <c r="H122" s="280"/>
      <c r="I122" s="154"/>
      <c r="J122" s="154"/>
      <c r="K122" s="154"/>
      <c r="L122" s="154"/>
      <c r="M122" s="154"/>
      <c r="N122" s="267">
        <f t="shared" si="37"/>
        <v>5.666666666666667</v>
      </c>
      <c r="P122" s="96">
        <f t="shared" si="38"/>
        <v>5.666666666666667</v>
      </c>
      <c r="Q122" s="97">
        <f t="shared" si="39"/>
        <v>5.666666666666667</v>
      </c>
      <c r="R122" s="154"/>
      <c r="S122" s="154"/>
      <c r="T122" s="154"/>
      <c r="U122" s="154"/>
      <c r="V122" s="154"/>
      <c r="W122" s="154"/>
      <c r="X122" s="154"/>
      <c r="Y122" s="215">
        <f t="shared" si="45"/>
        <v>5.666666666666667</v>
      </c>
      <c r="Z122" s="122"/>
      <c r="AA122" s="96">
        <f t="shared" si="46"/>
        <v>5.666666666666667</v>
      </c>
      <c r="AB122" s="97">
        <f t="shared" si="47"/>
        <v>5.666666666666667</v>
      </c>
      <c r="AC122" s="263"/>
      <c r="AD122" s="263"/>
      <c r="AE122" s="108">
        <f>0</f>
        <v>0</v>
      </c>
      <c r="AF122" s="108">
        <f>17</f>
        <v>17</v>
      </c>
      <c r="AG122" s="108"/>
      <c r="AH122" s="108"/>
      <c r="AI122" s="122"/>
      <c r="AJ122" s="96">
        <f t="shared" si="48"/>
        <v>17</v>
      </c>
      <c r="AK122" s="97">
        <f t="shared" si="49"/>
        <v>5.666666666666667</v>
      </c>
      <c r="AL122" s="101"/>
      <c r="AM122" s="41"/>
      <c r="AN122" s="41"/>
      <c r="AO122" s="41"/>
      <c r="AP122" s="41"/>
      <c r="AQ122" s="41"/>
      <c r="AR122" s="41"/>
      <c r="AS122" s="286"/>
      <c r="AU122" s="96">
        <f>SUM(AM122:AS122)</f>
        <v>0</v>
      </c>
      <c r="AV122" s="97">
        <f>IF(C122=2015, AU122/3,AU122)+AT122</f>
        <v>0</v>
      </c>
    </row>
    <row r="123" spans="1:48" x14ac:dyDescent="0.25">
      <c r="A123" s="11" t="s">
        <v>1257</v>
      </c>
      <c r="B123" s="66" t="s">
        <v>1256</v>
      </c>
      <c r="D123" s="1">
        <f t="shared" si="36"/>
        <v>24</v>
      </c>
      <c r="K123" s="241">
        <f>24</f>
        <v>24</v>
      </c>
      <c r="N123" s="267">
        <f t="shared" si="37"/>
        <v>0</v>
      </c>
      <c r="P123" s="96">
        <f t="shared" si="38"/>
        <v>24</v>
      </c>
      <c r="Q123" s="97">
        <f t="shared" si="39"/>
        <v>24</v>
      </c>
      <c r="T123" s="201"/>
      <c r="U123" s="201"/>
      <c r="V123" s="201"/>
      <c r="W123" s="201"/>
      <c r="X123" s="201"/>
      <c r="Z123" s="152"/>
      <c r="AA123" s="96"/>
      <c r="AB123" s="97"/>
      <c r="AE123" s="201"/>
      <c r="AF123" s="201"/>
      <c r="AG123" s="201"/>
      <c r="AH123" s="201"/>
      <c r="AI123" s="120"/>
      <c r="AJ123" s="96"/>
      <c r="AK123" s="97"/>
      <c r="AL123" s="22"/>
      <c r="AM123" s="261"/>
      <c r="AN123" s="261"/>
      <c r="AO123" s="261"/>
      <c r="AP123" s="261"/>
      <c r="AQ123" s="261"/>
      <c r="AR123" s="261"/>
      <c r="AS123" s="259"/>
      <c r="AT123" s="95"/>
      <c r="AU123" s="96"/>
      <c r="AV123" s="97"/>
    </row>
    <row r="124" spans="1:48" x14ac:dyDescent="0.25">
      <c r="A124" s="11" t="s">
        <v>869</v>
      </c>
      <c r="B124" s="11" t="s">
        <v>476</v>
      </c>
      <c r="C124" s="3">
        <v>2014</v>
      </c>
      <c r="D124" s="1">
        <f t="shared" si="36"/>
        <v>1</v>
      </c>
      <c r="N124" s="267">
        <f t="shared" si="37"/>
        <v>1</v>
      </c>
      <c r="P124" s="96">
        <f t="shared" si="38"/>
        <v>1</v>
      </c>
      <c r="Q124" s="97">
        <f t="shared" si="39"/>
        <v>1</v>
      </c>
      <c r="V124" s="172"/>
      <c r="W124" s="172">
        <f>1</f>
        <v>1</v>
      </c>
      <c r="X124" s="172"/>
      <c r="Y124" s="215">
        <f>AK124</f>
        <v>0</v>
      </c>
      <c r="Z124" s="152"/>
      <c r="AA124" s="96">
        <f>AM124+S124+T124+U124+V124+W124+X124+Y124</f>
        <v>1</v>
      </c>
      <c r="AB124" s="97">
        <f>IF(C124=2017, AA124/3,AA124)+Z124</f>
        <v>1</v>
      </c>
      <c r="AE124" s="172"/>
      <c r="AF124" s="172"/>
      <c r="AG124" s="172"/>
      <c r="AH124" s="172"/>
      <c r="AI124" s="120"/>
      <c r="AJ124" s="96">
        <f>SUM(AE124:AH124)</f>
        <v>0</v>
      </c>
      <c r="AK124" s="97">
        <f>IF(C124=2016, AJ124/3,AJ124)+AI124</f>
        <v>0</v>
      </c>
      <c r="AL124" s="22"/>
      <c r="AM124" s="261"/>
      <c r="AN124" s="261"/>
      <c r="AO124" s="261"/>
      <c r="AP124" s="261"/>
      <c r="AQ124" s="261"/>
      <c r="AR124" s="261"/>
      <c r="AS124" s="259"/>
      <c r="AT124" s="95"/>
      <c r="AU124" s="96"/>
      <c r="AV124" s="97"/>
    </row>
    <row r="125" spans="1:48" x14ac:dyDescent="0.25">
      <c r="A125" s="11" t="s">
        <v>1127</v>
      </c>
      <c r="B125" s="11" t="s">
        <v>1088</v>
      </c>
      <c r="C125" s="3">
        <f>2014</f>
        <v>2014</v>
      </c>
      <c r="D125" s="1">
        <f t="shared" si="36"/>
        <v>0</v>
      </c>
      <c r="L125" s="228">
        <f>0</f>
        <v>0</v>
      </c>
      <c r="N125" s="267">
        <f t="shared" si="37"/>
        <v>0</v>
      </c>
      <c r="P125" s="96">
        <f t="shared" si="38"/>
        <v>0</v>
      </c>
      <c r="Q125" s="97">
        <f t="shared" si="39"/>
        <v>0</v>
      </c>
      <c r="Z125" s="287"/>
      <c r="AI125" s="287"/>
      <c r="AL125" s="285"/>
      <c r="AM125" s="261"/>
      <c r="AN125" s="261"/>
      <c r="AO125" s="261"/>
      <c r="AP125" s="261"/>
      <c r="AQ125" s="261"/>
      <c r="AR125" s="261"/>
      <c r="AS125" s="259"/>
    </row>
    <row r="126" spans="1:48" x14ac:dyDescent="0.25">
      <c r="A126" s="11" t="s">
        <v>864</v>
      </c>
      <c r="B126" s="11" t="s">
        <v>476</v>
      </c>
      <c r="C126" s="3">
        <v>2016</v>
      </c>
      <c r="D126" s="1">
        <f t="shared" si="36"/>
        <v>1</v>
      </c>
      <c r="L126" s="228">
        <f>0</f>
        <v>0</v>
      </c>
      <c r="N126" s="267">
        <f t="shared" si="37"/>
        <v>1</v>
      </c>
      <c r="P126" s="96">
        <f t="shared" si="38"/>
        <v>1</v>
      </c>
      <c r="Q126" s="97">
        <f t="shared" si="39"/>
        <v>1</v>
      </c>
      <c r="T126" s="201"/>
      <c r="U126" s="201"/>
      <c r="V126" s="201"/>
      <c r="W126" s="201">
        <f>1</f>
        <v>1</v>
      </c>
      <c r="X126" s="201"/>
      <c r="Y126" s="215">
        <f>AK126</f>
        <v>0</v>
      </c>
      <c r="Z126" s="152"/>
      <c r="AA126" s="96">
        <f>AM126+S126+T126+U126+V126+W126+X126+Y126</f>
        <v>1</v>
      </c>
      <c r="AB126" s="97">
        <f>IF(C126=2017, AA126/3,AA126)+Z126</f>
        <v>1</v>
      </c>
      <c r="AE126" s="201"/>
      <c r="AF126" s="201"/>
      <c r="AG126" s="201"/>
      <c r="AH126" s="201"/>
      <c r="AI126" s="120"/>
      <c r="AJ126" s="96">
        <f>SUM(AE126:AH126)</f>
        <v>0</v>
      </c>
      <c r="AK126" s="97">
        <f>IF(C126=2016, AJ126/3,AJ126)+AI126</f>
        <v>0</v>
      </c>
      <c r="AL126" s="22"/>
      <c r="AM126" s="261"/>
      <c r="AN126" s="261"/>
      <c r="AO126" s="261"/>
      <c r="AP126" s="261"/>
      <c r="AQ126" s="261"/>
      <c r="AR126" s="261"/>
      <c r="AS126" s="259"/>
      <c r="AT126" s="95"/>
      <c r="AU126" s="96"/>
      <c r="AV126" s="97"/>
    </row>
    <row r="127" spans="1:48" x14ac:dyDescent="0.25">
      <c r="A127" s="45" t="s">
        <v>420</v>
      </c>
      <c r="B127" s="66" t="s">
        <v>63</v>
      </c>
      <c r="C127" s="46">
        <v>2016</v>
      </c>
      <c r="D127" s="1">
        <f t="shared" si="36"/>
        <v>57.333333333333336</v>
      </c>
      <c r="E127" s="154"/>
      <c r="F127" s="154"/>
      <c r="H127" s="290"/>
      <c r="I127" s="154"/>
      <c r="J127" s="154"/>
      <c r="K127" s="154"/>
      <c r="L127" s="154"/>
      <c r="M127" s="154"/>
      <c r="N127" s="267">
        <f t="shared" si="37"/>
        <v>57.333333333333336</v>
      </c>
      <c r="P127" s="96">
        <f t="shared" ref="P127:P157" si="50">I127+J127+K127+L127+M127+N127</f>
        <v>57.333333333333336</v>
      </c>
      <c r="Q127" s="97">
        <f t="shared" si="39"/>
        <v>57.333333333333336</v>
      </c>
      <c r="R127" s="154"/>
      <c r="S127" s="154"/>
      <c r="T127" s="154"/>
      <c r="U127" s="154"/>
      <c r="V127" s="154"/>
      <c r="W127" s="154"/>
      <c r="X127" s="154"/>
      <c r="Y127" s="215">
        <f>AK127</f>
        <v>57.333333333333336</v>
      </c>
      <c r="Z127" s="122"/>
      <c r="AA127" s="96">
        <f>AM127+S127+T127+U127+V127+W127+X127+Y127</f>
        <v>57.333333333333336</v>
      </c>
      <c r="AB127" s="97">
        <f>IF(C127=2017, AA127/3,AA127)+Z127</f>
        <v>57.333333333333336</v>
      </c>
      <c r="AC127" s="290"/>
      <c r="AD127" s="290"/>
      <c r="AE127" s="108">
        <f>42+3</f>
        <v>45</v>
      </c>
      <c r="AF127" s="108">
        <f>31+15</f>
        <v>46</v>
      </c>
      <c r="AG127" s="108">
        <f>30</f>
        <v>30</v>
      </c>
      <c r="AH127" s="108">
        <f>AV127</f>
        <v>51</v>
      </c>
      <c r="AI127" s="122"/>
      <c r="AJ127" s="96">
        <f>SUM(AE127:AH127)</f>
        <v>172</v>
      </c>
      <c r="AK127" s="97">
        <f>IF(C127=2016, AJ127/3,AJ127)+AI127</f>
        <v>57.333333333333336</v>
      </c>
      <c r="AL127" s="101"/>
      <c r="AM127" s="41"/>
      <c r="AN127" s="41"/>
      <c r="AO127" s="41"/>
      <c r="AP127" s="41">
        <f>24</f>
        <v>24</v>
      </c>
      <c r="AQ127" s="41">
        <f>15</f>
        <v>15</v>
      </c>
      <c r="AR127" s="41">
        <f>12</f>
        <v>12</v>
      </c>
      <c r="AS127" s="286"/>
      <c r="AU127" s="96">
        <f>SUM(AM127:AS127)</f>
        <v>51</v>
      </c>
      <c r="AV127" s="97">
        <f>IF(C127=2015, AU127/3,AU127)+AT127</f>
        <v>51</v>
      </c>
    </row>
    <row r="128" spans="1:48" x14ac:dyDescent="0.25">
      <c r="A128" s="11" t="s">
        <v>1217</v>
      </c>
      <c r="B128" s="60" t="s">
        <v>834</v>
      </c>
      <c r="D128" s="1">
        <f t="shared" si="36"/>
        <v>0</v>
      </c>
      <c r="K128" s="241">
        <f>0</f>
        <v>0</v>
      </c>
      <c r="N128" s="267">
        <f t="shared" si="37"/>
        <v>0</v>
      </c>
      <c r="P128" s="96">
        <f t="shared" si="50"/>
        <v>0</v>
      </c>
      <c r="Q128" s="97">
        <f t="shared" si="39"/>
        <v>0</v>
      </c>
      <c r="T128" s="201"/>
      <c r="U128" s="201"/>
      <c r="V128" s="201"/>
      <c r="W128" s="201"/>
      <c r="X128" s="201"/>
      <c r="Z128" s="287"/>
      <c r="AE128" s="201"/>
      <c r="AF128" s="201"/>
      <c r="AG128" s="201"/>
      <c r="AH128" s="201"/>
      <c r="AI128" s="287"/>
      <c r="AL128" s="285"/>
      <c r="AM128" s="231"/>
      <c r="AN128" s="231"/>
      <c r="AO128" s="231"/>
      <c r="AP128" s="231"/>
      <c r="AQ128" s="231"/>
      <c r="AR128" s="231"/>
      <c r="AS128" s="259"/>
    </row>
    <row r="129" spans="1:48" x14ac:dyDescent="0.25">
      <c r="A129" s="11" t="s">
        <v>1128</v>
      </c>
      <c r="B129" s="11" t="s">
        <v>1088</v>
      </c>
      <c r="C129" s="3">
        <v>2014</v>
      </c>
      <c r="D129" s="1">
        <f t="shared" si="36"/>
        <v>0</v>
      </c>
      <c r="L129" s="228">
        <f>0</f>
        <v>0</v>
      </c>
      <c r="N129" s="267">
        <f t="shared" si="37"/>
        <v>0</v>
      </c>
      <c r="P129" s="96">
        <f t="shared" si="50"/>
        <v>0</v>
      </c>
      <c r="Q129" s="97">
        <f t="shared" si="39"/>
        <v>0</v>
      </c>
      <c r="T129" s="201"/>
      <c r="U129" s="201"/>
      <c r="V129" s="201"/>
      <c r="W129" s="201"/>
      <c r="X129" s="201"/>
      <c r="Z129" s="287"/>
      <c r="AE129" s="201"/>
      <c r="AF129" s="201"/>
      <c r="AG129" s="201"/>
      <c r="AH129" s="201"/>
      <c r="AI129" s="287"/>
      <c r="AL129" s="285"/>
      <c r="AM129" s="261"/>
      <c r="AN129" s="261"/>
      <c r="AO129" s="261"/>
      <c r="AP129" s="261"/>
      <c r="AQ129" s="261"/>
      <c r="AR129" s="261"/>
      <c r="AS129" s="285"/>
    </row>
    <row r="130" spans="1:48" x14ac:dyDescent="0.25">
      <c r="A130" s="45" t="s">
        <v>76</v>
      </c>
      <c r="B130" s="66" t="s">
        <v>63</v>
      </c>
      <c r="C130" s="46">
        <v>2017</v>
      </c>
      <c r="D130" s="1">
        <f t="shared" si="36"/>
        <v>2</v>
      </c>
      <c r="E130" s="108"/>
      <c r="F130" s="108"/>
      <c r="H130" s="101"/>
      <c r="I130" s="108"/>
      <c r="J130" s="108"/>
      <c r="K130" s="108"/>
      <c r="L130" s="108"/>
      <c r="M130" s="108"/>
      <c r="N130" s="267">
        <f t="shared" si="37"/>
        <v>2</v>
      </c>
      <c r="P130" s="96">
        <f t="shared" si="50"/>
        <v>2</v>
      </c>
      <c r="Q130" s="97">
        <f t="shared" si="39"/>
        <v>2</v>
      </c>
      <c r="R130" s="108"/>
      <c r="S130" s="108"/>
      <c r="T130" s="108"/>
      <c r="U130" s="108"/>
      <c r="V130" s="108"/>
      <c r="W130" s="108"/>
      <c r="X130" s="108"/>
      <c r="Y130" s="215">
        <f t="shared" ref="Y130:Y135" si="51">AK130</f>
        <v>6</v>
      </c>
      <c r="Z130" s="122"/>
      <c r="AA130" s="96">
        <f t="shared" ref="AA130:AA135" si="52">AM130+S130+T130+U130+V130+W130+X130+Y130</f>
        <v>6</v>
      </c>
      <c r="AB130" s="97">
        <f t="shared" ref="AB130:AB135" si="53">IF(C130=2017, AA130/3,AA130)+Z130</f>
        <v>2</v>
      </c>
      <c r="AC130" s="101"/>
      <c r="AD130" s="108"/>
      <c r="AE130" s="108"/>
      <c r="AF130" s="108"/>
      <c r="AG130" s="108"/>
      <c r="AH130" s="108">
        <f>AV130</f>
        <v>6</v>
      </c>
      <c r="AI130" s="122"/>
      <c r="AJ130" s="96">
        <f t="shared" ref="AJ130:AJ135" si="54">SUM(AE130:AH130)</f>
        <v>6</v>
      </c>
      <c r="AK130" s="97">
        <f t="shared" ref="AK130:AK135" si="55">IF(C130=2016, AJ130/3,AJ130)+AI130</f>
        <v>6</v>
      </c>
      <c r="AL130" s="101"/>
      <c r="AM130" s="41"/>
      <c r="AN130" s="41">
        <v>0</v>
      </c>
      <c r="AO130" s="41"/>
      <c r="AP130" s="41">
        <f>6</f>
        <v>6</v>
      </c>
      <c r="AQ130" s="41"/>
      <c r="AR130" s="41"/>
      <c r="AS130" s="13"/>
      <c r="AU130" s="3">
        <f>SUM(AM130:AT130)</f>
        <v>6</v>
      </c>
      <c r="AV130" s="3">
        <f>AU130</f>
        <v>6</v>
      </c>
    </row>
    <row r="131" spans="1:48" x14ac:dyDescent="0.25">
      <c r="A131" s="11" t="s">
        <v>868</v>
      </c>
      <c r="B131" s="11" t="s">
        <v>476</v>
      </c>
      <c r="C131" s="3">
        <v>2014</v>
      </c>
      <c r="D131" s="1">
        <f t="shared" si="36"/>
        <v>1</v>
      </c>
      <c r="J131" s="261"/>
      <c r="K131" s="261"/>
      <c r="L131" s="261"/>
      <c r="M131" s="261"/>
      <c r="N131" s="267">
        <f t="shared" si="37"/>
        <v>1</v>
      </c>
      <c r="P131" s="96">
        <f t="shared" si="50"/>
        <v>1</v>
      </c>
      <c r="Q131" s="97">
        <f t="shared" si="39"/>
        <v>1</v>
      </c>
      <c r="R131" s="261"/>
      <c r="S131" s="261"/>
      <c r="T131" s="261"/>
      <c r="U131" s="261"/>
      <c r="V131" s="261"/>
      <c r="W131" s="261">
        <f>1</f>
        <v>1</v>
      </c>
      <c r="X131" s="261"/>
      <c r="Y131" s="215">
        <f t="shared" si="51"/>
        <v>0</v>
      </c>
      <c r="Z131" s="152"/>
      <c r="AA131" s="96">
        <f t="shared" si="52"/>
        <v>1</v>
      </c>
      <c r="AB131" s="97">
        <f t="shared" si="53"/>
        <v>1</v>
      </c>
      <c r="AE131" s="261"/>
      <c r="AF131" s="261"/>
      <c r="AG131" s="261"/>
      <c r="AH131" s="261"/>
      <c r="AI131" s="120"/>
      <c r="AJ131" s="96">
        <f t="shared" si="54"/>
        <v>0</v>
      </c>
      <c r="AK131" s="97">
        <f t="shared" si="55"/>
        <v>0</v>
      </c>
      <c r="AL131" s="22"/>
      <c r="AM131" s="287"/>
      <c r="AN131" s="287"/>
      <c r="AO131" s="287"/>
      <c r="AP131" s="287"/>
      <c r="AQ131" s="287"/>
      <c r="AR131" s="287"/>
      <c r="AS131" s="285"/>
      <c r="AT131" s="95"/>
      <c r="AU131" s="96"/>
      <c r="AV131" s="97"/>
    </row>
    <row r="132" spans="1:48" x14ac:dyDescent="0.25">
      <c r="A132" s="45" t="s">
        <v>875</v>
      </c>
      <c r="B132" s="66" t="s">
        <v>404</v>
      </c>
      <c r="C132" s="46">
        <v>2017</v>
      </c>
      <c r="D132" s="1">
        <f t="shared" si="36"/>
        <v>2</v>
      </c>
      <c r="E132" s="108"/>
      <c r="F132" s="108"/>
      <c r="H132" s="101"/>
      <c r="I132" s="108"/>
      <c r="J132" s="108">
        <f>0</f>
        <v>0</v>
      </c>
      <c r="K132" s="108">
        <f>2</f>
        <v>2</v>
      </c>
      <c r="L132" s="108"/>
      <c r="M132" s="108"/>
      <c r="N132" s="267">
        <f t="shared" si="37"/>
        <v>0</v>
      </c>
      <c r="P132" s="96">
        <f t="shared" si="50"/>
        <v>2</v>
      </c>
      <c r="Q132" s="97">
        <f t="shared" si="39"/>
        <v>2</v>
      </c>
      <c r="R132" s="108"/>
      <c r="S132" s="108"/>
      <c r="T132" s="108"/>
      <c r="U132" s="108"/>
      <c r="V132" s="108">
        <f>0</f>
        <v>0</v>
      </c>
      <c r="W132" s="108"/>
      <c r="X132" s="108"/>
      <c r="Y132" s="215">
        <f t="shared" si="51"/>
        <v>0</v>
      </c>
      <c r="Z132" s="122"/>
      <c r="AA132" s="96">
        <f t="shared" si="52"/>
        <v>0</v>
      </c>
      <c r="AB132" s="97">
        <f t="shared" si="53"/>
        <v>0</v>
      </c>
      <c r="AC132" s="101"/>
      <c r="AD132" s="108"/>
      <c r="AE132" s="108"/>
      <c r="AF132" s="108"/>
      <c r="AG132" s="108"/>
      <c r="AH132" s="108"/>
      <c r="AI132" s="122"/>
      <c r="AJ132" s="96">
        <f t="shared" si="54"/>
        <v>0</v>
      </c>
      <c r="AK132" s="97">
        <f t="shared" si="55"/>
        <v>0</v>
      </c>
      <c r="AL132" s="101"/>
      <c r="AM132" s="41"/>
      <c r="AN132" s="41"/>
      <c r="AO132" s="41"/>
      <c r="AP132" s="41"/>
      <c r="AQ132" s="41"/>
      <c r="AR132" s="41"/>
      <c r="AS132" s="13"/>
    </row>
    <row r="133" spans="1:48" x14ac:dyDescent="0.25">
      <c r="A133" s="11" t="s">
        <v>840</v>
      </c>
      <c r="B133" s="11" t="s">
        <v>834</v>
      </c>
      <c r="C133" s="3">
        <v>2014</v>
      </c>
      <c r="D133" s="1">
        <f>Q133+F133+E133+G133</f>
        <v>175</v>
      </c>
      <c r="E133" s="283">
        <f>48</f>
        <v>48</v>
      </c>
      <c r="G133" s="120">
        <f>18</f>
        <v>18</v>
      </c>
      <c r="I133" s="261">
        <f>48+12</f>
        <v>60</v>
      </c>
      <c r="J133" s="256">
        <f>21</f>
        <v>21</v>
      </c>
      <c r="K133" s="256">
        <f>0</f>
        <v>0</v>
      </c>
      <c r="L133" s="256"/>
      <c r="M133" s="256"/>
      <c r="N133" s="267">
        <f t="shared" si="37"/>
        <v>28</v>
      </c>
      <c r="P133" s="96">
        <f t="shared" si="50"/>
        <v>109</v>
      </c>
      <c r="Q133" s="97">
        <f t="shared" si="39"/>
        <v>109</v>
      </c>
      <c r="R133" s="256"/>
      <c r="S133" s="256"/>
      <c r="T133" s="256">
        <f>22</f>
        <v>22</v>
      </c>
      <c r="U133" s="256"/>
      <c r="V133" s="256">
        <f>6</f>
        <v>6</v>
      </c>
      <c r="W133" s="256">
        <f>0</f>
        <v>0</v>
      </c>
      <c r="X133" s="256"/>
      <c r="Y133" s="215">
        <f t="shared" si="51"/>
        <v>0</v>
      </c>
      <c r="Z133" s="152"/>
      <c r="AA133" s="96">
        <f t="shared" si="52"/>
        <v>28</v>
      </c>
      <c r="AB133" s="97">
        <f t="shared" si="53"/>
        <v>28</v>
      </c>
      <c r="AE133" s="256"/>
      <c r="AF133" s="256"/>
      <c r="AG133" s="256"/>
      <c r="AH133" s="256"/>
      <c r="AI133" s="120"/>
      <c r="AJ133" s="96">
        <f t="shared" si="54"/>
        <v>0</v>
      </c>
      <c r="AK133" s="97">
        <f t="shared" si="55"/>
        <v>0</v>
      </c>
      <c r="AL133" s="22"/>
      <c r="AM133" s="287"/>
      <c r="AN133" s="287"/>
      <c r="AO133" s="287"/>
      <c r="AP133" s="287"/>
      <c r="AQ133" s="287"/>
      <c r="AR133" s="287"/>
      <c r="AS133" s="285"/>
      <c r="AT133" s="95"/>
      <c r="AU133" s="96"/>
      <c r="AV133" s="97"/>
    </row>
    <row r="134" spans="1:48" x14ac:dyDescent="0.25">
      <c r="A134" s="45" t="s">
        <v>74</v>
      </c>
      <c r="B134" s="66" t="s">
        <v>63</v>
      </c>
      <c r="C134" s="46">
        <v>2016</v>
      </c>
      <c r="D134" s="1">
        <f t="shared" si="36"/>
        <v>4</v>
      </c>
      <c r="E134" s="154"/>
      <c r="F134" s="154"/>
      <c r="H134" s="290"/>
      <c r="I134" s="154"/>
      <c r="J134" s="154"/>
      <c r="K134" s="154"/>
      <c r="L134" s="154"/>
      <c r="M134" s="154"/>
      <c r="N134" s="267">
        <f t="shared" si="37"/>
        <v>4</v>
      </c>
      <c r="P134" s="96">
        <f t="shared" si="50"/>
        <v>4</v>
      </c>
      <c r="Q134" s="97">
        <f t="shared" si="39"/>
        <v>4</v>
      </c>
      <c r="R134" s="154"/>
      <c r="S134" s="154"/>
      <c r="T134" s="154"/>
      <c r="U134" s="154"/>
      <c r="V134" s="154"/>
      <c r="W134" s="154"/>
      <c r="X134" s="154"/>
      <c r="Y134" s="215">
        <f t="shared" si="51"/>
        <v>4</v>
      </c>
      <c r="Z134" s="122"/>
      <c r="AA134" s="96">
        <f t="shared" si="52"/>
        <v>4</v>
      </c>
      <c r="AB134" s="97">
        <f t="shared" si="53"/>
        <v>4</v>
      </c>
      <c r="AC134" s="290"/>
      <c r="AD134" s="290"/>
      <c r="AE134" s="108"/>
      <c r="AF134" s="108"/>
      <c r="AG134" s="108"/>
      <c r="AH134" s="108">
        <f>AV134</f>
        <v>12</v>
      </c>
      <c r="AI134" s="122"/>
      <c r="AJ134" s="96">
        <f t="shared" si="54"/>
        <v>12</v>
      </c>
      <c r="AK134" s="97">
        <f t="shared" si="55"/>
        <v>4</v>
      </c>
      <c r="AL134" s="101"/>
      <c r="AM134" s="41"/>
      <c r="AN134" s="41">
        <v>12</v>
      </c>
      <c r="AO134" s="41">
        <f>0</f>
        <v>0</v>
      </c>
      <c r="AP134" s="41">
        <f>0</f>
        <v>0</v>
      </c>
      <c r="AQ134" s="41">
        <f>0</f>
        <v>0</v>
      </c>
      <c r="AR134" s="41">
        <f>0</f>
        <v>0</v>
      </c>
      <c r="AS134" s="286"/>
      <c r="AU134" s="96">
        <f>SUM(AM134:AS134)</f>
        <v>12</v>
      </c>
      <c r="AV134" s="97">
        <f>IF(C134=2015, AU134/3,AU134)+AT134</f>
        <v>12</v>
      </c>
    </row>
    <row r="135" spans="1:48" x14ac:dyDescent="0.25">
      <c r="A135" s="71" t="s">
        <v>762</v>
      </c>
      <c r="B135" s="71" t="s">
        <v>63</v>
      </c>
      <c r="C135" s="72">
        <v>2014</v>
      </c>
      <c r="D135" s="1">
        <f t="shared" si="36"/>
        <v>98</v>
      </c>
      <c r="H135" s="290"/>
      <c r="K135" s="241">
        <f>20</f>
        <v>20</v>
      </c>
      <c r="N135" s="267">
        <f t="shared" si="37"/>
        <v>78</v>
      </c>
      <c r="P135" s="96">
        <f t="shared" si="50"/>
        <v>98</v>
      </c>
      <c r="Q135" s="97">
        <f t="shared" si="39"/>
        <v>98</v>
      </c>
      <c r="S135" s="215">
        <f>31</f>
        <v>31</v>
      </c>
      <c r="T135" s="215"/>
      <c r="U135" s="215">
        <f>0+2</f>
        <v>2</v>
      </c>
      <c r="V135" s="215">
        <f>0</f>
        <v>0</v>
      </c>
      <c r="W135" s="215">
        <f>26+2+1</f>
        <v>29</v>
      </c>
      <c r="X135" s="215">
        <f>16</f>
        <v>16</v>
      </c>
      <c r="Y135" s="215">
        <f t="shared" si="51"/>
        <v>0</v>
      </c>
      <c r="Z135" s="152"/>
      <c r="AA135" s="96">
        <f t="shared" si="52"/>
        <v>78</v>
      </c>
      <c r="AB135" s="97">
        <f t="shared" si="53"/>
        <v>78</v>
      </c>
      <c r="AC135" s="290"/>
      <c r="AD135" s="290"/>
      <c r="AE135" s="215"/>
      <c r="AF135" s="215"/>
      <c r="AG135" s="215"/>
      <c r="AH135" s="215"/>
      <c r="AI135" s="120"/>
      <c r="AJ135" s="96">
        <f t="shared" si="54"/>
        <v>0</v>
      </c>
      <c r="AK135" s="97">
        <f t="shared" si="55"/>
        <v>0</v>
      </c>
      <c r="AL135" s="22"/>
      <c r="AM135" s="287"/>
      <c r="AN135" s="287"/>
      <c r="AO135" s="287"/>
      <c r="AP135" s="287"/>
      <c r="AQ135" s="287"/>
      <c r="AR135" s="287"/>
      <c r="AS135" s="285"/>
      <c r="AT135" s="95"/>
      <c r="AU135" s="96"/>
      <c r="AV135" s="97"/>
    </row>
    <row r="136" spans="1:48" x14ac:dyDescent="0.25">
      <c r="A136" s="45" t="s">
        <v>1098</v>
      </c>
      <c r="B136" s="11" t="s">
        <v>36</v>
      </c>
      <c r="C136" s="46">
        <v>2014</v>
      </c>
      <c r="D136" s="1">
        <f t="shared" si="36"/>
        <v>256</v>
      </c>
      <c r="E136" s="108">
        <f>51</f>
        <v>51</v>
      </c>
      <c r="F136" s="108">
        <f>21+2</f>
        <v>23</v>
      </c>
      <c r="G136" s="120">
        <f>8</f>
        <v>8</v>
      </c>
      <c r="H136" s="101"/>
      <c r="I136" s="108">
        <f>35+28</f>
        <v>63</v>
      </c>
      <c r="J136" s="108">
        <f>27+16</f>
        <v>43</v>
      </c>
      <c r="K136" s="108">
        <f>29+10</f>
        <v>39</v>
      </c>
      <c r="L136" s="108">
        <f>24+13</f>
        <v>37</v>
      </c>
      <c r="M136" s="108"/>
      <c r="N136" s="267">
        <f t="shared" si="37"/>
        <v>0</v>
      </c>
      <c r="P136" s="96">
        <f t="shared" si="50"/>
        <v>182</v>
      </c>
      <c r="Q136" s="97">
        <f t="shared" si="39"/>
        <v>182</v>
      </c>
      <c r="R136" s="108"/>
      <c r="S136" s="108"/>
      <c r="T136" s="108"/>
      <c r="U136" s="108"/>
      <c r="V136" s="108"/>
      <c r="W136" s="108"/>
      <c r="X136" s="108"/>
      <c r="Z136" s="122"/>
      <c r="AA136" s="96"/>
      <c r="AB136" s="97"/>
      <c r="AC136" s="101"/>
      <c r="AD136" s="108"/>
      <c r="AE136" s="108"/>
      <c r="AF136" s="108"/>
      <c r="AG136" s="108"/>
      <c r="AH136" s="108"/>
      <c r="AI136" s="122"/>
      <c r="AJ136" s="96"/>
      <c r="AK136" s="97"/>
      <c r="AL136" s="101"/>
      <c r="AM136" s="41"/>
      <c r="AN136" s="41"/>
      <c r="AO136" s="41"/>
      <c r="AP136" s="41"/>
      <c r="AQ136" s="41"/>
      <c r="AR136" s="41"/>
      <c r="AS136" s="13"/>
    </row>
    <row r="137" spans="1:48" x14ac:dyDescent="0.25">
      <c r="A137" s="11" t="s">
        <v>123</v>
      </c>
      <c r="B137" s="60" t="s">
        <v>64</v>
      </c>
      <c r="C137" s="62">
        <v>2014</v>
      </c>
      <c r="D137" s="1">
        <f t="shared" si="36"/>
        <v>33</v>
      </c>
      <c r="H137" s="280"/>
      <c r="N137" s="267">
        <f t="shared" si="37"/>
        <v>33</v>
      </c>
      <c r="P137" s="96">
        <f t="shared" si="50"/>
        <v>33</v>
      </c>
      <c r="Q137" s="97">
        <f t="shared" si="39"/>
        <v>33</v>
      </c>
      <c r="Y137" s="215">
        <f>AK137</f>
        <v>33</v>
      </c>
      <c r="Z137" s="120"/>
      <c r="AA137" s="96">
        <f>AM137+S137+T137+U137+V137+W137+X137+Y137</f>
        <v>33</v>
      </c>
      <c r="AB137" s="97">
        <f>IF(C137=2017, AA137/3,AA137)+Z137</f>
        <v>33</v>
      </c>
      <c r="AC137" s="205"/>
      <c r="AD137" s="205"/>
      <c r="AH137" s="50">
        <f>AV137</f>
        <v>33</v>
      </c>
      <c r="AI137" s="120"/>
      <c r="AJ137" s="96">
        <f>SUM(AE137:AH137)</f>
        <v>33</v>
      </c>
      <c r="AK137" s="97">
        <f>IF(C137=2016, AJ137/3,AJ137)+AI137</f>
        <v>33</v>
      </c>
      <c r="AL137" s="22"/>
      <c r="AM137" s="41"/>
      <c r="AN137" s="41">
        <v>27</v>
      </c>
      <c r="AO137" s="41">
        <f>6</f>
        <v>6</v>
      </c>
      <c r="AP137" s="41"/>
      <c r="AQ137" s="41"/>
      <c r="AR137" s="41"/>
      <c r="AS137" s="13"/>
      <c r="AT137" s="95"/>
      <c r="AU137" s="96">
        <f>SUM(AM137:AS137)</f>
        <v>33</v>
      </c>
      <c r="AV137" s="97">
        <f>IF(C137=2015, AU137/3,AU137)+AT137</f>
        <v>33</v>
      </c>
    </row>
    <row r="138" spans="1:48" x14ac:dyDescent="0.25">
      <c r="A138" s="45" t="s">
        <v>259</v>
      </c>
      <c r="B138" s="66" t="s">
        <v>231</v>
      </c>
      <c r="C138" s="46">
        <v>2014</v>
      </c>
      <c r="D138" s="1">
        <f t="shared" si="36"/>
        <v>22</v>
      </c>
      <c r="E138" s="108"/>
      <c r="F138" s="108"/>
      <c r="H138" s="101"/>
      <c r="I138" s="108"/>
      <c r="J138" s="108"/>
      <c r="K138" s="108"/>
      <c r="L138" s="108">
        <f>22</f>
        <v>22</v>
      </c>
      <c r="M138" s="108"/>
      <c r="N138" s="267">
        <f t="shared" si="37"/>
        <v>0</v>
      </c>
      <c r="P138" s="96">
        <f t="shared" si="50"/>
        <v>22</v>
      </c>
      <c r="Q138" s="97">
        <f t="shared" si="39"/>
        <v>22</v>
      </c>
      <c r="R138" s="108"/>
      <c r="S138" s="108"/>
      <c r="T138" s="108"/>
      <c r="U138" s="108"/>
      <c r="V138" s="108"/>
      <c r="W138" s="108"/>
      <c r="X138" s="108"/>
      <c r="Z138" s="122"/>
      <c r="AA138" s="96"/>
      <c r="AB138" s="97"/>
      <c r="AC138" s="101"/>
      <c r="AD138" s="108"/>
      <c r="AE138" s="108"/>
      <c r="AF138" s="108"/>
      <c r="AG138" s="108"/>
      <c r="AH138" s="108"/>
      <c r="AI138" s="122"/>
      <c r="AJ138" s="96"/>
      <c r="AK138" s="97"/>
      <c r="AL138" s="101"/>
      <c r="AM138" s="41"/>
      <c r="AN138" s="41"/>
      <c r="AO138" s="41"/>
      <c r="AP138" s="41"/>
      <c r="AQ138" s="41"/>
      <c r="AR138" s="41"/>
      <c r="AS138" s="13"/>
    </row>
    <row r="139" spans="1:48" x14ac:dyDescent="0.25">
      <c r="A139" s="11" t="s">
        <v>848</v>
      </c>
      <c r="B139" s="60" t="s">
        <v>63</v>
      </c>
      <c r="C139" s="62">
        <v>2014</v>
      </c>
      <c r="D139" s="1">
        <f t="shared" si="36"/>
        <v>24</v>
      </c>
      <c r="J139" s="261"/>
      <c r="K139" s="261"/>
      <c r="L139" s="261"/>
      <c r="M139" s="261"/>
      <c r="N139" s="267">
        <f t="shared" si="37"/>
        <v>24</v>
      </c>
      <c r="P139" s="96">
        <f t="shared" si="50"/>
        <v>24</v>
      </c>
      <c r="Q139" s="97">
        <f t="shared" si="39"/>
        <v>24</v>
      </c>
      <c r="R139" s="261"/>
      <c r="S139" s="261"/>
      <c r="T139" s="261"/>
      <c r="U139" s="261"/>
      <c r="V139" s="261">
        <f>0+3+3</f>
        <v>6</v>
      </c>
      <c r="W139" s="261">
        <f>0+12+6</f>
        <v>18</v>
      </c>
      <c r="X139" s="261"/>
      <c r="Y139" s="215">
        <f>AK139</f>
        <v>0</v>
      </c>
      <c r="Z139" s="152"/>
      <c r="AA139" s="96">
        <f>AM139+S139+T139+U139+V139+W139+X139+Y139</f>
        <v>24</v>
      </c>
      <c r="AB139" s="97">
        <f>IF(C139=2017, AA139/3,AA139)+Z139</f>
        <v>24</v>
      </c>
      <c r="AE139" s="261"/>
      <c r="AF139" s="261"/>
      <c r="AG139" s="261"/>
      <c r="AH139" s="261"/>
      <c r="AI139" s="120"/>
      <c r="AJ139" s="96">
        <f>SUM(AE139:AH139)</f>
        <v>0</v>
      </c>
      <c r="AK139" s="97">
        <f>IF(C139=2016, AJ139/3,AJ139)+AI139</f>
        <v>0</v>
      </c>
      <c r="AL139" s="22"/>
      <c r="AM139" s="151"/>
      <c r="AN139" s="151"/>
      <c r="AO139" s="151"/>
      <c r="AP139" s="151"/>
      <c r="AQ139" s="151"/>
      <c r="AR139" s="151"/>
      <c r="AS139" s="13"/>
      <c r="AT139" s="95"/>
      <c r="AU139" s="96"/>
      <c r="AV139" s="97"/>
    </row>
    <row r="140" spans="1:48" x14ac:dyDescent="0.25">
      <c r="A140" s="11" t="s">
        <v>394</v>
      </c>
      <c r="B140" s="71" t="s">
        <v>63</v>
      </c>
      <c r="C140" s="62">
        <v>2014</v>
      </c>
      <c r="D140" s="1">
        <f t="shared" si="36"/>
        <v>76</v>
      </c>
      <c r="E140" s="287"/>
      <c r="F140" s="287"/>
      <c r="H140" s="290"/>
      <c r="I140" s="287"/>
      <c r="J140" s="287"/>
      <c r="K140" s="287"/>
      <c r="L140" s="287"/>
      <c r="M140" s="287"/>
      <c r="N140" s="267">
        <f t="shared" si="37"/>
        <v>76</v>
      </c>
      <c r="P140" s="96">
        <f t="shared" si="50"/>
        <v>76</v>
      </c>
      <c r="Q140" s="97">
        <f t="shared" si="39"/>
        <v>76</v>
      </c>
      <c r="R140" s="287"/>
      <c r="S140" s="287"/>
      <c r="T140" s="287"/>
      <c r="U140" s="287">
        <f>3</f>
        <v>3</v>
      </c>
      <c r="V140" s="287"/>
      <c r="W140" s="287"/>
      <c r="X140" s="287"/>
      <c r="Y140" s="215">
        <f>AK140</f>
        <v>73</v>
      </c>
      <c r="Z140" s="120"/>
      <c r="AA140" s="96">
        <f>AM140+S140+T140+U140+V140+W140+X140+Y140</f>
        <v>76</v>
      </c>
      <c r="AB140" s="97">
        <f>IF(C140=2017, AA140/3,AA140)+Z140</f>
        <v>76</v>
      </c>
      <c r="AC140" s="290"/>
      <c r="AD140" s="290"/>
      <c r="AE140" s="287"/>
      <c r="AF140" s="287">
        <f>37</f>
        <v>37</v>
      </c>
      <c r="AG140" s="287"/>
      <c r="AH140" s="287">
        <f>AV140</f>
        <v>36</v>
      </c>
      <c r="AI140" s="120"/>
      <c r="AJ140" s="96">
        <f>SUM(AE140:AH140)</f>
        <v>73</v>
      </c>
      <c r="AK140" s="97">
        <f>IF(C140=2016, AJ140/3,AJ140)+AI140</f>
        <v>73</v>
      </c>
      <c r="AL140" s="22"/>
      <c r="AM140" s="41"/>
      <c r="AN140" s="41"/>
      <c r="AO140" s="41"/>
      <c r="AP140" s="41"/>
      <c r="AQ140" s="41">
        <f>36</f>
        <v>36</v>
      </c>
      <c r="AR140" s="41"/>
      <c r="AS140" s="13"/>
      <c r="AT140" s="95"/>
      <c r="AU140" s="96">
        <f>SUM(AM140:AS140)</f>
        <v>36</v>
      </c>
      <c r="AV140" s="97">
        <f>IF(C140=2015, AU140/3,AU140)+AT140</f>
        <v>36</v>
      </c>
    </row>
    <row r="141" spans="1:48" x14ac:dyDescent="0.25">
      <c r="A141" s="45" t="s">
        <v>1231</v>
      </c>
      <c r="B141" s="66" t="s">
        <v>404</v>
      </c>
      <c r="C141" s="46">
        <v>2014</v>
      </c>
      <c r="D141" s="1">
        <f t="shared" si="36"/>
        <v>32</v>
      </c>
      <c r="E141" s="108">
        <f>16</f>
        <v>16</v>
      </c>
      <c r="F141" s="108"/>
      <c r="H141" s="101"/>
      <c r="I141" s="108"/>
      <c r="J141" s="108">
        <f>2</f>
        <v>2</v>
      </c>
      <c r="K141" s="108">
        <f>0+14</f>
        <v>14</v>
      </c>
      <c r="L141" s="108"/>
      <c r="M141" s="108"/>
      <c r="N141" s="267">
        <f t="shared" si="37"/>
        <v>0</v>
      </c>
      <c r="P141" s="96">
        <f t="shared" si="50"/>
        <v>16</v>
      </c>
      <c r="Q141" s="97">
        <f t="shared" si="39"/>
        <v>16</v>
      </c>
      <c r="R141" s="108"/>
      <c r="S141" s="108"/>
      <c r="T141" s="108"/>
      <c r="U141" s="108"/>
      <c r="V141" s="108"/>
      <c r="W141" s="108"/>
      <c r="X141" s="108"/>
      <c r="Z141" s="122"/>
      <c r="AA141" s="96"/>
      <c r="AB141" s="97"/>
      <c r="AC141" s="101"/>
      <c r="AD141" s="108"/>
      <c r="AE141" s="108"/>
      <c r="AF141" s="108"/>
      <c r="AG141" s="108"/>
      <c r="AH141" s="108"/>
      <c r="AI141" s="122"/>
      <c r="AJ141" s="96"/>
      <c r="AK141" s="97"/>
      <c r="AL141" s="101"/>
      <c r="AM141" s="41"/>
      <c r="AN141" s="41"/>
      <c r="AO141" s="41"/>
      <c r="AP141" s="41"/>
      <c r="AQ141" s="41"/>
      <c r="AR141" s="41"/>
      <c r="AS141" s="13"/>
    </row>
    <row r="142" spans="1:48" x14ac:dyDescent="0.25">
      <c r="A142" s="11" t="s">
        <v>609</v>
      </c>
      <c r="B142" s="71" t="s">
        <v>476</v>
      </c>
      <c r="C142" s="62"/>
      <c r="D142" s="1">
        <f t="shared" si="36"/>
        <v>14</v>
      </c>
      <c r="H142" s="280"/>
      <c r="J142" s="261"/>
      <c r="K142" s="261"/>
      <c r="L142" s="261"/>
      <c r="M142" s="261"/>
      <c r="N142" s="267">
        <f t="shared" si="37"/>
        <v>14</v>
      </c>
      <c r="P142" s="96">
        <f t="shared" si="50"/>
        <v>14</v>
      </c>
      <c r="Q142" s="97">
        <f t="shared" si="39"/>
        <v>14</v>
      </c>
      <c r="R142" s="261"/>
      <c r="S142" s="261"/>
      <c r="T142" s="261"/>
      <c r="U142" s="261"/>
      <c r="V142" s="261"/>
      <c r="W142" s="261"/>
      <c r="X142" s="261"/>
      <c r="Y142" s="215">
        <f>AK142</f>
        <v>14</v>
      </c>
      <c r="Z142" s="152"/>
      <c r="AA142" s="96">
        <f>AM142+S142+T142+U142+V142+W142+X142+Y142</f>
        <v>14</v>
      </c>
      <c r="AB142" s="97">
        <f>IF(C142=2017, AA142/3,AA142)+Z142</f>
        <v>14</v>
      </c>
      <c r="AC142" s="263"/>
      <c r="AD142" s="263"/>
      <c r="AE142" s="231"/>
      <c r="AF142" s="231">
        <f>13+1</f>
        <v>14</v>
      </c>
      <c r="AG142" s="231"/>
      <c r="AH142" s="231"/>
      <c r="AI142" s="120"/>
      <c r="AJ142" s="96">
        <f>SUM(AE142:AH142)</f>
        <v>14</v>
      </c>
      <c r="AK142" s="97">
        <f>IF(C142=2016, AJ142/3,AJ142)+AI142</f>
        <v>14</v>
      </c>
      <c r="AL142" s="22"/>
      <c r="AM142" s="151"/>
      <c r="AN142" s="151"/>
      <c r="AO142" s="151"/>
      <c r="AP142" s="151"/>
      <c r="AQ142" s="151"/>
      <c r="AR142" s="151"/>
      <c r="AS142" s="13"/>
      <c r="AT142" s="95"/>
      <c r="AU142" s="96">
        <f>SUM(AM142:AS142)</f>
        <v>0</v>
      </c>
      <c r="AV142" s="97">
        <f>IF(C142=2015, AU142/3,AU142)+AT142</f>
        <v>0</v>
      </c>
    </row>
    <row r="143" spans="1:48" x14ac:dyDescent="0.25">
      <c r="A143" s="11" t="s">
        <v>988</v>
      </c>
      <c r="B143" s="60" t="s">
        <v>86</v>
      </c>
      <c r="C143" s="62">
        <v>2014</v>
      </c>
      <c r="D143" s="1">
        <f t="shared" si="36"/>
        <v>31</v>
      </c>
      <c r="E143" s="287"/>
      <c r="F143" s="287"/>
      <c r="I143" s="287"/>
      <c r="J143" s="287"/>
      <c r="K143" s="287"/>
      <c r="L143" s="287"/>
      <c r="M143" s="287"/>
      <c r="N143" s="267">
        <f t="shared" si="37"/>
        <v>31</v>
      </c>
      <c r="P143" s="96">
        <f t="shared" si="50"/>
        <v>31</v>
      </c>
      <c r="Q143" s="97">
        <f t="shared" si="39"/>
        <v>31</v>
      </c>
      <c r="R143" s="287"/>
      <c r="S143" s="287">
        <f>31</f>
        <v>31</v>
      </c>
      <c r="T143" s="287"/>
      <c r="U143" s="287"/>
      <c r="V143" s="287"/>
      <c r="W143" s="287"/>
      <c r="X143" s="287"/>
      <c r="Y143" s="215">
        <f>AK143</f>
        <v>0</v>
      </c>
      <c r="Z143" s="152"/>
      <c r="AA143" s="96">
        <f>AM143+S143+T143+U143+V143+W143+X143+Y143</f>
        <v>31</v>
      </c>
      <c r="AB143" s="97">
        <f>IF(C143=2017, AA143/3,AA143)+Z143</f>
        <v>31</v>
      </c>
      <c r="AE143" s="287"/>
      <c r="AF143" s="287"/>
      <c r="AG143" s="287"/>
      <c r="AH143" s="287"/>
      <c r="AI143" s="120"/>
      <c r="AJ143" s="96">
        <f>SUM(AE143:AH143)</f>
        <v>0</v>
      </c>
      <c r="AK143" s="97">
        <f>IF(C143=2016, AJ143/3,AJ143)+AI143</f>
        <v>0</v>
      </c>
      <c r="AL143" s="22"/>
      <c r="AM143" s="151"/>
      <c r="AN143" s="151"/>
      <c r="AO143" s="151"/>
      <c r="AP143" s="151"/>
      <c r="AQ143" s="151"/>
      <c r="AR143" s="151"/>
      <c r="AS143" s="13"/>
      <c r="AT143" s="95"/>
      <c r="AU143" s="96"/>
      <c r="AV143" s="97"/>
    </row>
    <row r="144" spans="1:48" x14ac:dyDescent="0.25">
      <c r="A144" s="11" t="s">
        <v>1214</v>
      </c>
      <c r="B144" s="66" t="s">
        <v>834</v>
      </c>
      <c r="C144" s="62"/>
      <c r="D144" s="1">
        <f t="shared" si="36"/>
        <v>0</v>
      </c>
      <c r="K144" s="241">
        <f>0</f>
        <v>0</v>
      </c>
      <c r="N144" s="267">
        <f t="shared" si="37"/>
        <v>0</v>
      </c>
      <c r="P144" s="96">
        <f t="shared" si="50"/>
        <v>0</v>
      </c>
      <c r="Q144" s="97">
        <f t="shared" si="39"/>
        <v>0</v>
      </c>
      <c r="T144" s="201"/>
      <c r="U144" s="201"/>
      <c r="V144" s="201"/>
      <c r="W144" s="201"/>
      <c r="X144" s="201"/>
      <c r="Z144" s="152"/>
      <c r="AA144" s="96"/>
      <c r="AB144" s="97"/>
      <c r="AE144" s="168"/>
      <c r="AF144" s="168"/>
      <c r="AG144" s="168"/>
      <c r="AH144" s="168"/>
      <c r="AI144" s="120"/>
      <c r="AJ144" s="96"/>
      <c r="AK144" s="97"/>
      <c r="AL144" s="22"/>
      <c r="AM144" s="151"/>
      <c r="AN144" s="151"/>
      <c r="AO144" s="151"/>
      <c r="AP144" s="151"/>
      <c r="AQ144" s="151"/>
      <c r="AR144" s="151"/>
      <c r="AS144" s="13"/>
      <c r="AT144" s="95"/>
      <c r="AU144" s="96"/>
      <c r="AV144" s="97"/>
    </row>
    <row r="145" spans="1:67" x14ac:dyDescent="0.25">
      <c r="A145" s="45" t="s">
        <v>678</v>
      </c>
      <c r="B145" s="66" t="s">
        <v>36</v>
      </c>
      <c r="C145" s="46">
        <v>2017</v>
      </c>
      <c r="D145" s="1">
        <f t="shared" si="36"/>
        <v>4</v>
      </c>
      <c r="E145" s="108"/>
      <c r="F145" s="108"/>
      <c r="H145" s="101"/>
      <c r="I145" s="108"/>
      <c r="J145" s="108"/>
      <c r="K145" s="108"/>
      <c r="L145" s="108"/>
      <c r="M145" s="108"/>
      <c r="N145" s="267">
        <f t="shared" si="37"/>
        <v>4</v>
      </c>
      <c r="P145" s="96">
        <f t="shared" si="50"/>
        <v>4</v>
      </c>
      <c r="Q145" s="97">
        <f t="shared" si="39"/>
        <v>4</v>
      </c>
      <c r="R145" s="108"/>
      <c r="S145" s="108"/>
      <c r="T145" s="108"/>
      <c r="U145" s="108"/>
      <c r="V145" s="108"/>
      <c r="W145" s="108"/>
      <c r="X145" s="108"/>
      <c r="Y145" s="215">
        <f>AK145</f>
        <v>12</v>
      </c>
      <c r="Z145" s="122"/>
      <c r="AA145" s="96">
        <f>AM145+S145+T145+U145+V145+W145+X145+Y145</f>
        <v>12</v>
      </c>
      <c r="AB145" s="97">
        <f>IF(C145=2017, AA145/3,AA145)+Z145</f>
        <v>4</v>
      </c>
      <c r="AC145" s="101"/>
      <c r="AD145" s="108"/>
      <c r="AE145" s="108">
        <f>12</f>
        <v>12</v>
      </c>
      <c r="AF145" s="108"/>
      <c r="AG145" s="108"/>
      <c r="AH145" s="108"/>
      <c r="AI145" s="122"/>
      <c r="AJ145" s="96">
        <f>SUM(AE145:AH145)</f>
        <v>12</v>
      </c>
      <c r="AK145" s="97">
        <f>IF(C145=2016, AJ145/3,AJ145)+AI145</f>
        <v>12</v>
      </c>
      <c r="AL145" s="101"/>
      <c r="AM145" s="41"/>
      <c r="AN145" s="41"/>
      <c r="AO145" s="41"/>
      <c r="AP145" s="41"/>
      <c r="AQ145" s="41"/>
      <c r="AR145" s="41"/>
      <c r="AS145" s="286"/>
    </row>
    <row r="146" spans="1:67" x14ac:dyDescent="0.25">
      <c r="A146" s="45" t="s">
        <v>871</v>
      </c>
      <c r="B146" s="66" t="s">
        <v>0</v>
      </c>
      <c r="C146" s="46">
        <v>2017</v>
      </c>
      <c r="D146" s="1">
        <f t="shared" si="36"/>
        <v>113.33333333333333</v>
      </c>
      <c r="E146" s="108">
        <f>16</f>
        <v>16</v>
      </c>
      <c r="F146" s="108"/>
      <c r="H146" s="101"/>
      <c r="I146" s="108">
        <f>30</f>
        <v>30</v>
      </c>
      <c r="J146" s="108">
        <f>0</f>
        <v>0</v>
      </c>
      <c r="K146" s="108">
        <f>32</f>
        <v>32</v>
      </c>
      <c r="L146" s="108">
        <f>28</f>
        <v>28</v>
      </c>
      <c r="M146" s="108"/>
      <c r="N146" s="267">
        <f t="shared" si="37"/>
        <v>7.333333333333333</v>
      </c>
      <c r="P146" s="96">
        <f t="shared" si="50"/>
        <v>97.333333333333329</v>
      </c>
      <c r="Q146" s="97">
        <f t="shared" si="39"/>
        <v>97.333333333333329</v>
      </c>
      <c r="R146" s="108"/>
      <c r="S146" s="108">
        <f>6+2</f>
        <v>8</v>
      </c>
      <c r="T146" s="108">
        <f>6</f>
        <v>6</v>
      </c>
      <c r="U146" s="108">
        <f>2</f>
        <v>2</v>
      </c>
      <c r="V146" s="108">
        <f>6</f>
        <v>6</v>
      </c>
      <c r="W146" s="108"/>
      <c r="X146" s="108"/>
      <c r="Y146" s="215">
        <f>AK146</f>
        <v>0</v>
      </c>
      <c r="Z146" s="122"/>
      <c r="AA146" s="96">
        <f>AM146+S146+T146+U146+V146+W146+X146+Y146</f>
        <v>22</v>
      </c>
      <c r="AB146" s="97">
        <f>IF(C146=2017, AA146/3,AA146)+Z146</f>
        <v>7.333333333333333</v>
      </c>
      <c r="AC146" s="101"/>
      <c r="AD146" s="108"/>
      <c r="AE146" s="108"/>
      <c r="AF146" s="108"/>
      <c r="AG146" s="108"/>
      <c r="AH146" s="108"/>
      <c r="AI146" s="122"/>
      <c r="AJ146" s="96">
        <f>SUM(AE146:AH146)</f>
        <v>0</v>
      </c>
      <c r="AK146" s="97">
        <f>IF(C146=2016, AJ146/3,AJ146)+AI146</f>
        <v>0</v>
      </c>
      <c r="AL146" s="101"/>
      <c r="AM146" s="41"/>
      <c r="AN146" s="41"/>
      <c r="AO146" s="41"/>
      <c r="AP146" s="41"/>
      <c r="AQ146" s="41"/>
      <c r="AR146" s="41"/>
      <c r="AS146" s="286"/>
    </row>
    <row r="147" spans="1:67" x14ac:dyDescent="0.25">
      <c r="A147" s="11" t="s">
        <v>406</v>
      </c>
      <c r="B147" s="11" t="s">
        <v>63</v>
      </c>
      <c r="C147" s="3">
        <v>2014</v>
      </c>
      <c r="D147" s="1">
        <f t="shared" si="36"/>
        <v>23</v>
      </c>
      <c r="E147" s="287"/>
      <c r="F147" s="287"/>
      <c r="H147" s="280"/>
      <c r="I147" s="287"/>
      <c r="J147" s="287"/>
      <c r="K147" s="287"/>
      <c r="L147" s="287"/>
      <c r="M147" s="287"/>
      <c r="N147" s="267">
        <f t="shared" si="37"/>
        <v>23</v>
      </c>
      <c r="P147" s="96">
        <f t="shared" si="50"/>
        <v>23</v>
      </c>
      <c r="Q147" s="97">
        <f t="shared" si="39"/>
        <v>23</v>
      </c>
      <c r="R147" s="287"/>
      <c r="S147" s="287"/>
      <c r="T147" s="287"/>
      <c r="U147" s="287"/>
      <c r="V147" s="287"/>
      <c r="W147" s="287"/>
      <c r="X147" s="287"/>
      <c r="Y147" s="215">
        <f>AK147</f>
        <v>23</v>
      </c>
      <c r="Z147" s="120"/>
      <c r="AA147" s="96">
        <f>AM147+S147+T147+U147+V147+W147+X147+Y147</f>
        <v>23</v>
      </c>
      <c r="AB147" s="97">
        <f>IF(C147=2017, AA147/3,AA147)+Z147</f>
        <v>23</v>
      </c>
      <c r="AC147" s="257"/>
      <c r="AD147" s="257"/>
      <c r="AE147" s="287">
        <f>0</f>
        <v>0</v>
      </c>
      <c r="AF147" s="287"/>
      <c r="AG147" s="287">
        <f>13</f>
        <v>13</v>
      </c>
      <c r="AH147" s="287">
        <f>AV147</f>
        <v>10</v>
      </c>
      <c r="AI147" s="120"/>
      <c r="AJ147" s="96">
        <f>SUM(AE147:AH147)</f>
        <v>23</v>
      </c>
      <c r="AK147" s="97">
        <f>IF(C147=2016, AJ147/3,AJ147)+AI147</f>
        <v>23</v>
      </c>
      <c r="AL147" s="22"/>
      <c r="AM147" s="287"/>
      <c r="AN147" s="287"/>
      <c r="AO147" s="287"/>
      <c r="AP147" s="287"/>
      <c r="AQ147" s="287">
        <f>10</f>
        <v>10</v>
      </c>
      <c r="AR147" s="287"/>
      <c r="AS147" s="285"/>
      <c r="AT147" s="95"/>
      <c r="AU147" s="96">
        <f>SUM(AM147:AS147)</f>
        <v>10</v>
      </c>
      <c r="AV147" s="97">
        <f>IF(C147=2015, AU147/3,AU147)+AT147</f>
        <v>10</v>
      </c>
    </row>
    <row r="148" spans="1:67" x14ac:dyDescent="0.25">
      <c r="A148" s="11" t="s">
        <v>1227</v>
      </c>
      <c r="B148" s="11" t="s">
        <v>1222</v>
      </c>
      <c r="D148" s="1">
        <f t="shared" si="36"/>
        <v>9</v>
      </c>
      <c r="J148" s="261"/>
      <c r="K148" s="261">
        <v>9</v>
      </c>
      <c r="L148" s="261"/>
      <c r="M148" s="261"/>
      <c r="N148" s="267">
        <f t="shared" si="37"/>
        <v>0</v>
      </c>
      <c r="P148" s="96">
        <f t="shared" si="50"/>
        <v>9</v>
      </c>
      <c r="Q148" s="97">
        <f t="shared" si="39"/>
        <v>9</v>
      </c>
      <c r="R148" s="261"/>
      <c r="S148" s="261"/>
      <c r="T148" s="261"/>
      <c r="U148" s="261"/>
      <c r="V148" s="261"/>
      <c r="W148" s="261"/>
      <c r="X148" s="261"/>
      <c r="Z148" s="287"/>
      <c r="AE148" s="261"/>
      <c r="AF148" s="261"/>
      <c r="AG148" s="261"/>
      <c r="AH148" s="261"/>
      <c r="AI148" s="287"/>
      <c r="AL148" s="285"/>
      <c r="AM148" s="261"/>
      <c r="AN148" s="261"/>
      <c r="AO148" s="261"/>
      <c r="AP148" s="261"/>
      <c r="AQ148" s="261"/>
      <c r="AR148" s="261"/>
      <c r="AS148" s="259"/>
    </row>
    <row r="149" spans="1:67" x14ac:dyDescent="0.25">
      <c r="A149" s="11" t="s">
        <v>625</v>
      </c>
      <c r="B149" s="60" t="s">
        <v>598</v>
      </c>
      <c r="C149" s="62"/>
      <c r="D149" s="1">
        <f t="shared" si="36"/>
        <v>21</v>
      </c>
      <c r="H149" s="290"/>
      <c r="J149" s="261"/>
      <c r="K149" s="261"/>
      <c r="L149" s="261"/>
      <c r="M149" s="261"/>
      <c r="N149" s="267">
        <f t="shared" si="37"/>
        <v>21</v>
      </c>
      <c r="P149" s="96">
        <f t="shared" si="50"/>
        <v>21</v>
      </c>
      <c r="Q149" s="97">
        <f t="shared" si="39"/>
        <v>21</v>
      </c>
      <c r="R149" s="261"/>
      <c r="S149" s="261"/>
      <c r="T149" s="261"/>
      <c r="U149" s="261"/>
      <c r="V149" s="261"/>
      <c r="W149" s="261"/>
      <c r="X149" s="261"/>
      <c r="Y149" s="215">
        <f>AK149</f>
        <v>21</v>
      </c>
      <c r="Z149" s="152"/>
      <c r="AA149" s="96">
        <f>AM149+S149+T149+U149+V149+W149+X149+Y149</f>
        <v>21</v>
      </c>
      <c r="AB149" s="97">
        <f>IF(C149=2017, AA149/3,AA149)+Z149</f>
        <v>21</v>
      </c>
      <c r="AC149" s="290"/>
      <c r="AD149" s="290"/>
      <c r="AE149" s="261"/>
      <c r="AF149" s="261">
        <f>21</f>
        <v>21</v>
      </c>
      <c r="AG149" s="261"/>
      <c r="AH149" s="261"/>
      <c r="AI149" s="120"/>
      <c r="AJ149" s="96">
        <f>SUM(AE149:AH149)</f>
        <v>21</v>
      </c>
      <c r="AK149" s="97">
        <f>IF(C149=2016, AJ149/3,AJ149)+AI149</f>
        <v>21</v>
      </c>
      <c r="AL149" s="22"/>
      <c r="AM149" s="261"/>
      <c r="AN149" s="261"/>
      <c r="AO149" s="261"/>
      <c r="AP149" s="261"/>
      <c r="AQ149" s="261"/>
      <c r="AR149" s="261"/>
      <c r="AS149" s="259"/>
      <c r="AT149" s="95"/>
      <c r="AU149" s="96">
        <f>SUM(AM149:AS149)</f>
        <v>0</v>
      </c>
      <c r="AV149" s="97">
        <f>IF(C149=2015, AU149/3,AU149)+AT149</f>
        <v>0</v>
      </c>
    </row>
    <row r="150" spans="1:67" x14ac:dyDescent="0.25">
      <c r="A150" s="11" t="s">
        <v>559</v>
      </c>
      <c r="B150" s="71" t="s">
        <v>7</v>
      </c>
      <c r="C150" s="62">
        <v>2015</v>
      </c>
      <c r="D150" s="1">
        <f t="shared" si="36"/>
        <v>0</v>
      </c>
      <c r="H150" s="280"/>
      <c r="N150" s="267">
        <f t="shared" si="37"/>
        <v>0</v>
      </c>
      <c r="P150" s="96">
        <f t="shared" si="50"/>
        <v>0</v>
      </c>
      <c r="Q150" s="97">
        <f t="shared" si="39"/>
        <v>0</v>
      </c>
      <c r="S150" s="215"/>
      <c r="T150" s="215"/>
      <c r="U150" s="215"/>
      <c r="V150" s="215"/>
      <c r="W150" s="215"/>
      <c r="X150" s="215"/>
      <c r="Y150" s="215">
        <f>AK150</f>
        <v>0</v>
      </c>
      <c r="Z150" s="152"/>
      <c r="AA150" s="96">
        <f>AM150+S150+T150+U150+V150+W150+X150+Y150</f>
        <v>0</v>
      </c>
      <c r="AB150" s="97">
        <f>IF(C150=2017, AA150/3,AA150)+Z150</f>
        <v>0</v>
      </c>
      <c r="AC150" s="263"/>
      <c r="AD150" s="263"/>
      <c r="AE150" s="164"/>
      <c r="AF150" s="164"/>
      <c r="AG150" s="164">
        <f>0</f>
        <v>0</v>
      </c>
      <c r="AH150" s="164"/>
      <c r="AI150" s="120"/>
      <c r="AJ150" s="96">
        <f>SUM(AE150:AH150)</f>
        <v>0</v>
      </c>
      <c r="AK150" s="97">
        <f>IF(C150=2016, AJ150/3,AJ150)+AI150</f>
        <v>0</v>
      </c>
      <c r="AL150" s="22"/>
      <c r="AM150" s="256"/>
      <c r="AN150" s="256"/>
      <c r="AO150" s="256"/>
      <c r="AP150" s="256"/>
      <c r="AQ150" s="256"/>
      <c r="AR150" s="256"/>
      <c r="AS150" s="254"/>
      <c r="AT150" s="95"/>
      <c r="AU150" s="96">
        <f>SUM(AM150:AS150)</f>
        <v>0</v>
      </c>
      <c r="AV150" s="97">
        <f>IF(C150=2015, AU150/3,AU150)+AT150</f>
        <v>0</v>
      </c>
    </row>
    <row r="151" spans="1:67" x14ac:dyDescent="0.25">
      <c r="A151" s="11" t="s">
        <v>727</v>
      </c>
      <c r="B151" s="71" t="s">
        <v>63</v>
      </c>
      <c r="C151" s="62">
        <v>2015</v>
      </c>
      <c r="D151" s="1">
        <f t="shared" si="36"/>
        <v>271</v>
      </c>
      <c r="E151" s="283">
        <f>16</f>
        <v>16</v>
      </c>
      <c r="H151" s="290"/>
      <c r="I151" s="261">
        <f>40</f>
        <v>40</v>
      </c>
      <c r="J151" s="256">
        <f>0</f>
        <v>0</v>
      </c>
      <c r="K151" s="256">
        <f>32</f>
        <v>32</v>
      </c>
      <c r="L151" s="256"/>
      <c r="M151" s="256"/>
      <c r="N151" s="267">
        <f t="shared" si="37"/>
        <v>183</v>
      </c>
      <c r="P151" s="96">
        <f t="shared" si="50"/>
        <v>255</v>
      </c>
      <c r="Q151" s="97">
        <f t="shared" si="39"/>
        <v>255</v>
      </c>
      <c r="R151" s="256"/>
      <c r="S151" s="256">
        <f>14</f>
        <v>14</v>
      </c>
      <c r="T151" s="256">
        <f>68</f>
        <v>68</v>
      </c>
      <c r="U151" s="256">
        <f>15+4</f>
        <v>19</v>
      </c>
      <c r="V151" s="256">
        <f>43+4</f>
        <v>47</v>
      </c>
      <c r="W151" s="256">
        <f>18+1</f>
        <v>19</v>
      </c>
      <c r="X151" s="256">
        <f>16</f>
        <v>16</v>
      </c>
      <c r="Y151" s="215">
        <f>AK151</f>
        <v>0</v>
      </c>
      <c r="Z151" s="152"/>
      <c r="AA151" s="96">
        <f>AM151+S151+T151+U151+V151+W151+X151+Y151</f>
        <v>183</v>
      </c>
      <c r="AB151" s="97">
        <f>IF(C151=2017, AA151/3,AA151)+Z151</f>
        <v>183</v>
      </c>
      <c r="AC151" s="290"/>
      <c r="AD151" s="290"/>
      <c r="AE151" s="164"/>
      <c r="AF151" s="164"/>
      <c r="AG151" s="164"/>
      <c r="AH151" s="164"/>
      <c r="AI151" s="120"/>
      <c r="AJ151" s="96">
        <f>SUM(AE151:AH151)</f>
        <v>0</v>
      </c>
      <c r="AK151" s="97">
        <f>IF(C151=2016, AJ151/3,AJ151)+AI151</f>
        <v>0</v>
      </c>
      <c r="AL151" s="22"/>
      <c r="AM151" s="256"/>
      <c r="AN151" s="256"/>
      <c r="AO151" s="256"/>
      <c r="AP151" s="256"/>
      <c r="AQ151" s="256"/>
      <c r="AR151" s="256"/>
      <c r="AS151" s="254"/>
      <c r="AT151" s="95"/>
      <c r="AU151" s="96">
        <f>SUM(AM151:AS151)</f>
        <v>0</v>
      </c>
      <c r="AV151" s="97">
        <f>IF(C151=2015, AU151/3,AU151)+AT151</f>
        <v>0</v>
      </c>
    </row>
    <row r="152" spans="1:67" x14ac:dyDescent="0.25">
      <c r="A152" s="11" t="s">
        <v>735</v>
      </c>
      <c r="B152" s="71" t="s">
        <v>63</v>
      </c>
      <c r="C152" s="62">
        <v>2015</v>
      </c>
      <c r="D152" s="1">
        <f t="shared" si="36"/>
        <v>260</v>
      </c>
      <c r="E152" s="283">
        <f>30</f>
        <v>30</v>
      </c>
      <c r="H152" s="280"/>
      <c r="I152" s="261">
        <f>40</f>
        <v>40</v>
      </c>
      <c r="J152" s="246">
        <f>18</f>
        <v>18</v>
      </c>
      <c r="K152" s="241">
        <f>32</f>
        <v>32</v>
      </c>
      <c r="L152" s="231"/>
      <c r="M152" s="231"/>
      <c r="N152" s="267">
        <f t="shared" si="37"/>
        <v>140</v>
      </c>
      <c r="P152" s="96">
        <f t="shared" si="50"/>
        <v>230</v>
      </c>
      <c r="Q152" s="97">
        <f t="shared" si="39"/>
        <v>230</v>
      </c>
      <c r="R152" s="231"/>
      <c r="S152" s="231">
        <f>20</f>
        <v>20</v>
      </c>
      <c r="T152" s="231">
        <f>22</f>
        <v>22</v>
      </c>
      <c r="U152" s="231">
        <f>12</f>
        <v>12</v>
      </c>
      <c r="V152" s="231">
        <f>0+4</f>
        <v>4</v>
      </c>
      <c r="W152" s="231">
        <f>50+4</f>
        <v>54</v>
      </c>
      <c r="X152" s="231">
        <f>28</f>
        <v>28</v>
      </c>
      <c r="Y152" s="215">
        <f>AK152</f>
        <v>0</v>
      </c>
      <c r="Z152" s="152"/>
      <c r="AA152" s="96">
        <f>AM152+S152+T152+U152+V152+W152+X152+Y152</f>
        <v>140</v>
      </c>
      <c r="AB152" s="97">
        <f>IF(C152=2017, AA152/3,AA152)+Z152</f>
        <v>140</v>
      </c>
      <c r="AC152" s="217"/>
      <c r="AD152" s="217"/>
      <c r="AE152" s="231"/>
      <c r="AF152" s="231"/>
      <c r="AG152" s="231"/>
      <c r="AH152" s="231"/>
      <c r="AI152" s="120"/>
      <c r="AJ152" s="96">
        <f>SUM(AE152:AH152)</f>
        <v>0</v>
      </c>
      <c r="AK152" s="97">
        <f>IF(C152=2016, AJ152/3,AJ152)+AI152</f>
        <v>0</v>
      </c>
      <c r="AL152" s="22"/>
      <c r="AM152" s="261"/>
      <c r="AN152" s="261"/>
      <c r="AO152" s="261"/>
      <c r="AP152" s="261"/>
      <c r="AQ152" s="261"/>
      <c r="AR152" s="261"/>
      <c r="AS152" s="259"/>
      <c r="AT152" s="95"/>
      <c r="AU152" s="96">
        <f>SUM(AM152:AS152)</f>
        <v>0</v>
      </c>
      <c r="AV152" s="97">
        <f>IF(C152=2015, AU152/3,AU152)+AT152</f>
        <v>0</v>
      </c>
    </row>
    <row r="153" spans="1:67" x14ac:dyDescent="0.25">
      <c r="A153" s="11" t="s">
        <v>724</v>
      </c>
      <c r="B153" s="71" t="s">
        <v>0</v>
      </c>
      <c r="C153" s="62">
        <v>2014</v>
      </c>
      <c r="D153" s="1">
        <f t="shared" si="36"/>
        <v>63</v>
      </c>
      <c r="E153" s="283">
        <f>0</f>
        <v>0</v>
      </c>
      <c r="H153" s="280"/>
      <c r="I153" s="261">
        <f>0</f>
        <v>0</v>
      </c>
      <c r="N153" s="267">
        <f t="shared" si="37"/>
        <v>63</v>
      </c>
      <c r="P153" s="96">
        <f t="shared" si="50"/>
        <v>63</v>
      </c>
      <c r="Q153" s="97">
        <f t="shared" si="39"/>
        <v>63</v>
      </c>
      <c r="T153" s="201"/>
      <c r="U153" s="201">
        <f>6+4</f>
        <v>10</v>
      </c>
      <c r="V153" s="201">
        <f>23+1</f>
        <v>24</v>
      </c>
      <c r="W153" s="201">
        <f>26+3</f>
        <v>29</v>
      </c>
      <c r="X153" s="201"/>
      <c r="Y153" s="215">
        <f>AK153</f>
        <v>0</v>
      </c>
      <c r="Z153" s="152"/>
      <c r="AA153" s="96">
        <f>AM153+S153+T153+U153+V153+W153+X153+Y153</f>
        <v>63</v>
      </c>
      <c r="AB153" s="97">
        <f>IF(C153=2017, AA153/3,AA153)+Z153</f>
        <v>63</v>
      </c>
      <c r="AC153" s="263"/>
      <c r="AD153" s="263"/>
      <c r="AE153" s="201"/>
      <c r="AF153" s="201"/>
      <c r="AG153" s="201"/>
      <c r="AH153" s="201"/>
      <c r="AI153" s="120"/>
      <c r="AJ153" s="96">
        <f>SUM(AE153:AH153)</f>
        <v>0</v>
      </c>
      <c r="AK153" s="97">
        <f>IF(C153=2016, AJ153/3,AJ153)+AI153</f>
        <v>0</v>
      </c>
      <c r="AL153" s="22"/>
      <c r="AM153" s="201"/>
      <c r="AN153" s="201"/>
      <c r="AO153" s="201"/>
      <c r="AP153" s="201"/>
      <c r="AQ153" s="201"/>
      <c r="AR153" s="201"/>
      <c r="AT153" s="95"/>
      <c r="AU153" s="96">
        <f>SUM(AM153:AS153)</f>
        <v>0</v>
      </c>
      <c r="AV153" s="97">
        <f>IF(C153=2015, AU153/3,AU153)+AT153</f>
        <v>0</v>
      </c>
    </row>
    <row r="154" spans="1:67" x14ac:dyDescent="0.25">
      <c r="A154" s="11" t="s">
        <v>1126</v>
      </c>
      <c r="B154" s="11" t="s">
        <v>1088</v>
      </c>
      <c r="C154" s="3">
        <v>2014</v>
      </c>
      <c r="D154" s="1">
        <f t="shared" si="36"/>
        <v>0</v>
      </c>
      <c r="E154" s="287"/>
      <c r="F154" s="287"/>
      <c r="I154" s="287"/>
      <c r="J154" s="287"/>
      <c r="K154" s="287"/>
      <c r="L154" s="287">
        <f>0</f>
        <v>0</v>
      </c>
      <c r="M154" s="287"/>
      <c r="N154" s="267">
        <f t="shared" si="37"/>
        <v>0</v>
      </c>
      <c r="P154" s="96">
        <f t="shared" si="50"/>
        <v>0</v>
      </c>
      <c r="Q154" s="97">
        <f t="shared" si="39"/>
        <v>0</v>
      </c>
      <c r="R154" s="287"/>
      <c r="S154" s="287"/>
      <c r="T154" s="287"/>
      <c r="U154" s="287"/>
      <c r="V154" s="287"/>
      <c r="W154" s="287"/>
      <c r="X154" s="287"/>
      <c r="Z154" s="287"/>
      <c r="AE154" s="287"/>
      <c r="AF154" s="287"/>
      <c r="AG154" s="287"/>
      <c r="AH154" s="287"/>
      <c r="AI154" s="287"/>
      <c r="AL154" s="285"/>
      <c r="AM154" s="287"/>
      <c r="AN154" s="287"/>
      <c r="AO154" s="287"/>
      <c r="AP154" s="287"/>
      <c r="AQ154" s="287"/>
      <c r="AR154" s="287"/>
      <c r="AS154" s="285"/>
    </row>
    <row r="155" spans="1:67" x14ac:dyDescent="0.25">
      <c r="A155" s="11" t="s">
        <v>1059</v>
      </c>
      <c r="B155" s="71" t="s">
        <v>7</v>
      </c>
      <c r="C155" s="62"/>
      <c r="D155" s="1">
        <f t="shared" si="36"/>
        <v>37</v>
      </c>
      <c r="J155" s="246">
        <f>9+13</f>
        <v>22</v>
      </c>
      <c r="K155" s="241">
        <f>5+2</f>
        <v>7</v>
      </c>
      <c r="N155" s="267">
        <f t="shared" si="37"/>
        <v>8</v>
      </c>
      <c r="P155" s="96">
        <f t="shared" si="50"/>
        <v>37</v>
      </c>
      <c r="Q155" s="97">
        <f t="shared" si="39"/>
        <v>37</v>
      </c>
      <c r="S155" s="201">
        <f>8</f>
        <v>8</v>
      </c>
      <c r="T155" s="201"/>
      <c r="U155" s="201"/>
      <c r="V155" s="201"/>
      <c r="W155" s="201"/>
      <c r="X155" s="201"/>
      <c r="Y155" s="215">
        <f>AK155</f>
        <v>0</v>
      </c>
      <c r="Z155" s="152"/>
      <c r="AA155" s="96">
        <f>AM155+S155+T155+U155+V155+W155+X155+Y155</f>
        <v>8</v>
      </c>
      <c r="AB155" s="97">
        <f>IF(C155=2017, AA155/3,AA155)+Z155</f>
        <v>8</v>
      </c>
      <c r="AE155" s="201"/>
      <c r="AF155" s="201"/>
      <c r="AG155" s="201"/>
      <c r="AH155" s="201"/>
      <c r="AI155" s="120"/>
      <c r="AJ155" s="96">
        <f>SUM(AE155:AH155)</f>
        <v>0</v>
      </c>
      <c r="AK155" s="97">
        <f>IF(C155=2016, AJ155/3,AJ155)+AI155</f>
        <v>0</v>
      </c>
      <c r="AL155" s="22"/>
      <c r="AM155" s="231"/>
      <c r="AN155" s="231"/>
      <c r="AO155" s="231"/>
      <c r="AP155" s="231"/>
      <c r="AQ155" s="231"/>
      <c r="AR155" s="231"/>
      <c r="AS155" s="234"/>
      <c r="AT155" s="95"/>
      <c r="AU155" s="96"/>
      <c r="AV155" s="97"/>
    </row>
    <row r="156" spans="1:67" x14ac:dyDescent="0.25">
      <c r="A156" s="11" t="s">
        <v>942</v>
      </c>
      <c r="B156" s="11" t="s">
        <v>63</v>
      </c>
      <c r="D156" s="1">
        <f t="shared" si="36"/>
        <v>20</v>
      </c>
      <c r="J156" s="261"/>
      <c r="K156" s="261"/>
      <c r="L156" s="261"/>
      <c r="M156" s="261"/>
      <c r="N156" s="267">
        <f t="shared" si="37"/>
        <v>20</v>
      </c>
      <c r="P156" s="96">
        <f t="shared" si="50"/>
        <v>20</v>
      </c>
      <c r="Q156" s="97">
        <f t="shared" si="39"/>
        <v>20</v>
      </c>
      <c r="R156" s="261"/>
      <c r="S156" s="261"/>
      <c r="T156" s="261">
        <f>20</f>
        <v>20</v>
      </c>
      <c r="U156" s="261"/>
      <c r="V156" s="261"/>
      <c r="W156" s="261"/>
      <c r="X156" s="261"/>
      <c r="Y156" s="215">
        <f>AK156</f>
        <v>0</v>
      </c>
      <c r="Z156" s="287"/>
      <c r="AA156" s="96">
        <f>AM156+S156+T156+U156+V156+W156+X156+Y156</f>
        <v>20</v>
      </c>
      <c r="AB156" s="97">
        <f>IF(C156=2017, AA156/3,AA156)+Z156</f>
        <v>20</v>
      </c>
      <c r="AE156" s="261"/>
      <c r="AF156" s="261"/>
      <c r="AG156" s="261"/>
      <c r="AH156" s="261"/>
      <c r="AI156" s="287"/>
      <c r="AJ156" s="96">
        <f>SUM(AE156:AH156)</f>
        <v>0</v>
      </c>
      <c r="AK156" s="97">
        <f>IF(C156=2016, AJ156/3,AJ156)+AI156</f>
        <v>0</v>
      </c>
      <c r="AL156" s="285"/>
      <c r="AM156" s="261"/>
      <c r="AN156" s="261"/>
      <c r="AO156" s="261"/>
      <c r="AP156" s="261"/>
      <c r="AQ156" s="261"/>
      <c r="AR156" s="261"/>
      <c r="AS156" s="259"/>
    </row>
    <row r="157" spans="1:67" x14ac:dyDescent="0.25">
      <c r="A157" s="11" t="s">
        <v>1018</v>
      </c>
      <c r="B157" s="71" t="s">
        <v>86</v>
      </c>
      <c r="C157" s="62">
        <v>2015</v>
      </c>
      <c r="D157" s="1">
        <f t="shared" si="36"/>
        <v>95</v>
      </c>
      <c r="E157" s="287"/>
      <c r="F157" s="287"/>
      <c r="I157" s="287"/>
      <c r="J157" s="287"/>
      <c r="K157" s="287"/>
      <c r="L157" s="287">
        <f>8</f>
        <v>8</v>
      </c>
      <c r="M157" s="287"/>
      <c r="N157" s="267">
        <f t="shared" si="37"/>
        <v>87</v>
      </c>
      <c r="P157" s="96">
        <f t="shared" si="50"/>
        <v>95</v>
      </c>
      <c r="Q157" s="97">
        <f t="shared" si="39"/>
        <v>95</v>
      </c>
      <c r="R157" s="287"/>
      <c r="S157" s="287">
        <f>87</f>
        <v>87</v>
      </c>
      <c r="T157" s="287"/>
      <c r="U157" s="287"/>
      <c r="V157" s="287"/>
      <c r="W157" s="287"/>
      <c r="X157" s="287"/>
      <c r="Y157" s="215">
        <f>AK157</f>
        <v>0</v>
      </c>
      <c r="Z157" s="152"/>
      <c r="AA157" s="96">
        <f>AM157+S157+T157+U157+V157+W157+X157+Y157</f>
        <v>87</v>
      </c>
      <c r="AB157" s="97">
        <f>IF(C157=2017, AA157/3,AA157)+Z157</f>
        <v>87</v>
      </c>
      <c r="AE157" s="287"/>
      <c r="AF157" s="287"/>
      <c r="AG157" s="287"/>
      <c r="AH157" s="287"/>
      <c r="AI157" s="120"/>
      <c r="AJ157" s="96">
        <f>SUM(AE157:AH157)</f>
        <v>0</v>
      </c>
      <c r="AK157" s="97">
        <f>IF(C157=2016, AJ157/3,AJ157)+AI157</f>
        <v>0</v>
      </c>
      <c r="AL157" s="22"/>
      <c r="AM157" s="287"/>
      <c r="AN157" s="287"/>
      <c r="AO157" s="287"/>
      <c r="AP157" s="287"/>
      <c r="AQ157" s="287"/>
      <c r="AR157" s="287"/>
      <c r="AS157" s="285"/>
      <c r="AT157" s="95"/>
      <c r="AU157" s="96"/>
      <c r="AV157" s="97"/>
    </row>
    <row r="158" spans="1:67" x14ac:dyDescent="0.25">
      <c r="A158" s="11" t="s">
        <v>1225</v>
      </c>
      <c r="B158" s="11" t="s">
        <v>529</v>
      </c>
      <c r="D158" s="1">
        <f t="shared" ref="D158:D221" si="56">Q158+F158+E158</f>
        <v>9</v>
      </c>
      <c r="K158" s="241">
        <f>9</f>
        <v>9</v>
      </c>
      <c r="N158" s="267">
        <f t="shared" ref="N158:N221" si="57">AB158</f>
        <v>0</v>
      </c>
      <c r="P158" s="96">
        <f t="shared" ref="P158:P189" si="58">I158+J158+K158+L158+M158+N158</f>
        <v>9</v>
      </c>
      <c r="Q158" s="97">
        <f t="shared" ref="Q158:Q221" si="59">IF(C158=2013, P158/3,P158)+O158</f>
        <v>9</v>
      </c>
      <c r="T158" s="201"/>
      <c r="U158" s="201"/>
      <c r="V158" s="201"/>
      <c r="W158" s="201"/>
      <c r="X158" s="201"/>
      <c r="Z158" s="287"/>
      <c r="AE158" s="201"/>
      <c r="AF158" s="201"/>
      <c r="AG158" s="201"/>
      <c r="AH158" s="201"/>
      <c r="AI158" s="287"/>
      <c r="AL158" s="285"/>
      <c r="AM158" s="215"/>
      <c r="AN158" s="215"/>
      <c r="AO158" s="215"/>
      <c r="AP158" s="215"/>
      <c r="AQ158" s="215"/>
      <c r="AR158" s="215"/>
    </row>
    <row r="159" spans="1:67" x14ac:dyDescent="0.25">
      <c r="A159" s="51" t="s">
        <v>331</v>
      </c>
      <c r="B159" s="51" t="s">
        <v>7</v>
      </c>
      <c r="C159" s="52"/>
      <c r="D159" s="1">
        <f t="shared" si="56"/>
        <v>102</v>
      </c>
      <c r="E159" s="287"/>
      <c r="F159" s="287"/>
      <c r="H159" s="280"/>
      <c r="I159" s="287"/>
      <c r="J159" s="287"/>
      <c r="K159" s="287"/>
      <c r="L159" s="287"/>
      <c r="M159" s="287"/>
      <c r="N159" s="267">
        <f t="shared" si="57"/>
        <v>102</v>
      </c>
      <c r="P159" s="96">
        <f t="shared" si="58"/>
        <v>102</v>
      </c>
      <c r="Q159" s="97">
        <f t="shared" si="59"/>
        <v>102</v>
      </c>
      <c r="R159" s="287"/>
      <c r="S159" s="287"/>
      <c r="T159" s="287"/>
      <c r="U159" s="287"/>
      <c r="V159" s="287"/>
      <c r="W159" s="287"/>
      <c r="X159" s="287"/>
      <c r="Y159" s="215">
        <f t="shared" ref="Y159:Y164" si="60">AK159</f>
        <v>102</v>
      </c>
      <c r="Z159" s="120"/>
      <c r="AA159" s="96">
        <f t="shared" ref="AA159:AA164" si="61">AM159+S159+T159+U159+V159+W159+X159+Y159</f>
        <v>102</v>
      </c>
      <c r="AB159" s="97">
        <f t="shared" ref="AB159:AB164" si="62">IF(C159=2017, AA159/3,AA159)+Z159</f>
        <v>102</v>
      </c>
      <c r="AC159" s="217"/>
      <c r="AD159" s="217"/>
      <c r="AE159" s="231"/>
      <c r="AF159" s="231">
        <f>21</f>
        <v>21</v>
      </c>
      <c r="AG159" s="231"/>
      <c r="AH159" s="231">
        <f>AV159</f>
        <v>81</v>
      </c>
      <c r="AI159" s="120"/>
      <c r="AJ159" s="96">
        <f t="shared" ref="AJ159:AJ164" si="63">SUM(AE159:AH159)</f>
        <v>102</v>
      </c>
      <c r="AK159" s="97">
        <f t="shared" ref="AK159:AK164" si="64">IF(C159=2016, AJ159/3,AJ159)+AI159</f>
        <v>102</v>
      </c>
      <c r="AL159" s="22"/>
      <c r="AM159" s="287"/>
      <c r="AN159" s="287"/>
      <c r="AO159" s="287"/>
      <c r="AP159" s="287">
        <f>27</f>
        <v>27</v>
      </c>
      <c r="AQ159" s="287"/>
      <c r="AR159" s="287">
        <f>51</f>
        <v>51</v>
      </c>
      <c r="AS159" s="287">
        <f>3</f>
        <v>3</v>
      </c>
      <c r="AT159" s="95"/>
      <c r="AU159" s="96">
        <f>SUM(AM159:AS159)</f>
        <v>81</v>
      </c>
      <c r="AV159" s="97">
        <f>IF(C159=2015, AU159/3,AU159)+AT159</f>
        <v>81</v>
      </c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</row>
    <row r="160" spans="1:67" x14ac:dyDescent="0.25">
      <c r="A160" s="11" t="s">
        <v>482</v>
      </c>
      <c r="B160" s="60" t="s">
        <v>272</v>
      </c>
      <c r="C160" s="62">
        <v>2014</v>
      </c>
      <c r="D160" s="1">
        <f t="shared" si="56"/>
        <v>0</v>
      </c>
      <c r="E160" s="287"/>
      <c r="F160" s="287"/>
      <c r="H160" s="290"/>
      <c r="I160" s="287"/>
      <c r="J160" s="287"/>
      <c r="K160" s="287"/>
      <c r="L160" s="287"/>
      <c r="M160" s="287"/>
      <c r="N160" s="267">
        <f t="shared" si="57"/>
        <v>0</v>
      </c>
      <c r="P160" s="96">
        <f t="shared" si="58"/>
        <v>0</v>
      </c>
      <c r="Q160" s="97">
        <f t="shared" si="59"/>
        <v>0</v>
      </c>
      <c r="R160" s="287"/>
      <c r="S160" s="287"/>
      <c r="T160" s="287"/>
      <c r="U160" s="287"/>
      <c r="V160" s="287"/>
      <c r="W160" s="287"/>
      <c r="X160" s="287"/>
      <c r="Y160" s="215">
        <f t="shared" si="60"/>
        <v>0</v>
      </c>
      <c r="Z160" s="120"/>
      <c r="AA160" s="96">
        <f t="shared" si="61"/>
        <v>0</v>
      </c>
      <c r="AB160" s="97">
        <f t="shared" si="62"/>
        <v>0</v>
      </c>
      <c r="AC160" s="290"/>
      <c r="AD160" s="290"/>
      <c r="AE160" s="231"/>
      <c r="AF160" s="231"/>
      <c r="AG160" s="231"/>
      <c r="AH160" s="231">
        <f>AV160</f>
        <v>0</v>
      </c>
      <c r="AI160" s="120"/>
      <c r="AJ160" s="96">
        <f t="shared" si="63"/>
        <v>0</v>
      </c>
      <c r="AK160" s="97">
        <f t="shared" si="64"/>
        <v>0</v>
      </c>
      <c r="AL160" s="22"/>
      <c r="AM160" s="41"/>
      <c r="AN160" s="41"/>
      <c r="AO160" s="41"/>
      <c r="AP160" s="41"/>
      <c r="AQ160" s="41"/>
      <c r="AR160" s="41">
        <f>0</f>
        <v>0</v>
      </c>
      <c r="AS160" s="13"/>
      <c r="AT160" s="95"/>
      <c r="AU160" s="96">
        <f>SUM(AM160:AS160)</f>
        <v>0</v>
      </c>
      <c r="AV160" s="97">
        <f>IF(C160=2015, AU160/3,AU160)+AT160</f>
        <v>0</v>
      </c>
    </row>
    <row r="161" spans="1:48" x14ac:dyDescent="0.25">
      <c r="A161" s="11" t="s">
        <v>1044</v>
      </c>
      <c r="B161" s="60" t="s">
        <v>86</v>
      </c>
      <c r="C161" s="62">
        <v>2014</v>
      </c>
      <c r="D161" s="1">
        <f t="shared" si="56"/>
        <v>18</v>
      </c>
      <c r="L161" s="231">
        <f>9</f>
        <v>9</v>
      </c>
      <c r="M161" s="231"/>
      <c r="N161" s="267">
        <f t="shared" si="57"/>
        <v>9</v>
      </c>
      <c r="P161" s="96">
        <f t="shared" si="58"/>
        <v>18</v>
      </c>
      <c r="Q161" s="97">
        <f t="shared" si="59"/>
        <v>18</v>
      </c>
      <c r="R161" s="231"/>
      <c r="S161" s="231">
        <f>9</f>
        <v>9</v>
      </c>
      <c r="T161" s="231"/>
      <c r="U161" s="231"/>
      <c r="V161" s="231"/>
      <c r="W161" s="231"/>
      <c r="X161" s="231"/>
      <c r="Y161" s="215">
        <f t="shared" si="60"/>
        <v>0</v>
      </c>
      <c r="Z161" s="152"/>
      <c r="AA161" s="96">
        <f t="shared" si="61"/>
        <v>9</v>
      </c>
      <c r="AB161" s="97">
        <f t="shared" si="62"/>
        <v>9</v>
      </c>
      <c r="AE161" s="231"/>
      <c r="AF161" s="231"/>
      <c r="AG161" s="231"/>
      <c r="AH161" s="231"/>
      <c r="AI161" s="120"/>
      <c r="AJ161" s="96">
        <f t="shared" si="63"/>
        <v>0</v>
      </c>
      <c r="AK161" s="97">
        <f t="shared" si="64"/>
        <v>0</v>
      </c>
      <c r="AL161" s="22"/>
      <c r="AM161" s="151"/>
      <c r="AN161" s="151"/>
      <c r="AO161" s="151"/>
      <c r="AP161" s="151"/>
      <c r="AQ161" s="151"/>
      <c r="AR161" s="151"/>
      <c r="AS161" s="13"/>
      <c r="AT161" s="95"/>
      <c r="AU161" s="96"/>
      <c r="AV161" s="97"/>
    </row>
    <row r="162" spans="1:48" x14ac:dyDescent="0.25">
      <c r="A162" s="11" t="s">
        <v>138</v>
      </c>
      <c r="B162" s="60" t="s">
        <v>64</v>
      </c>
      <c r="C162" s="62">
        <v>2014</v>
      </c>
      <c r="D162" s="1">
        <f t="shared" si="56"/>
        <v>42</v>
      </c>
      <c r="H162" s="280"/>
      <c r="I162" s="261">
        <f>16</f>
        <v>16</v>
      </c>
      <c r="K162" s="241">
        <f>0</f>
        <v>0</v>
      </c>
      <c r="N162" s="267">
        <f t="shared" si="57"/>
        <v>26</v>
      </c>
      <c r="P162" s="96">
        <f t="shared" si="58"/>
        <v>42</v>
      </c>
      <c r="Q162" s="97">
        <f t="shared" si="59"/>
        <v>42</v>
      </c>
      <c r="Y162" s="215">
        <f t="shared" si="60"/>
        <v>26</v>
      </c>
      <c r="Z162" s="120"/>
      <c r="AA162" s="96">
        <f t="shared" si="61"/>
        <v>26</v>
      </c>
      <c r="AB162" s="97">
        <f t="shared" si="62"/>
        <v>26</v>
      </c>
      <c r="AC162" s="217"/>
      <c r="AD162" s="217"/>
      <c r="AH162" s="50">
        <f>AV162</f>
        <v>26</v>
      </c>
      <c r="AI162" s="120"/>
      <c r="AJ162" s="96">
        <f t="shared" si="63"/>
        <v>26</v>
      </c>
      <c r="AK162" s="97">
        <f t="shared" si="64"/>
        <v>26</v>
      </c>
      <c r="AL162" s="22"/>
      <c r="AM162" s="41"/>
      <c r="AN162" s="41">
        <v>8</v>
      </c>
      <c r="AO162" s="41">
        <f>18</f>
        <v>18</v>
      </c>
      <c r="AP162" s="41"/>
      <c r="AQ162" s="41"/>
      <c r="AR162" s="41"/>
      <c r="AS162" s="13"/>
      <c r="AT162" s="95"/>
      <c r="AU162" s="96">
        <f>SUM(AM162:AS162)</f>
        <v>26</v>
      </c>
      <c r="AV162" s="97">
        <f>IF(C162=2015, AU162/3,AU162)+AT162</f>
        <v>26</v>
      </c>
    </row>
    <row r="163" spans="1:48" x14ac:dyDescent="0.25">
      <c r="A163" s="11" t="s">
        <v>1036</v>
      </c>
      <c r="B163" s="60" t="s">
        <v>86</v>
      </c>
      <c r="C163" s="62">
        <v>2015</v>
      </c>
      <c r="D163" s="1">
        <f t="shared" si="56"/>
        <v>0</v>
      </c>
      <c r="J163" s="256"/>
      <c r="K163" s="256"/>
      <c r="L163" s="256">
        <f>0</f>
        <v>0</v>
      </c>
      <c r="M163" s="256"/>
      <c r="N163" s="267">
        <f t="shared" si="57"/>
        <v>0</v>
      </c>
      <c r="P163" s="96">
        <f t="shared" si="58"/>
        <v>0</v>
      </c>
      <c r="Q163" s="97">
        <f t="shared" si="59"/>
        <v>0</v>
      </c>
      <c r="R163" s="256"/>
      <c r="S163" s="256">
        <f>0</f>
        <v>0</v>
      </c>
      <c r="T163" s="256"/>
      <c r="U163" s="256"/>
      <c r="V163" s="256"/>
      <c r="W163" s="256"/>
      <c r="X163" s="256"/>
      <c r="Y163" s="215">
        <f t="shared" si="60"/>
        <v>0</v>
      </c>
      <c r="Z163" s="152"/>
      <c r="AA163" s="96">
        <f t="shared" si="61"/>
        <v>0</v>
      </c>
      <c r="AB163" s="97">
        <f t="shared" si="62"/>
        <v>0</v>
      </c>
      <c r="AE163" s="256"/>
      <c r="AF163" s="256"/>
      <c r="AG163" s="256"/>
      <c r="AH163" s="256"/>
      <c r="AI163" s="120"/>
      <c r="AJ163" s="96">
        <f t="shared" si="63"/>
        <v>0</v>
      </c>
      <c r="AK163" s="97">
        <f t="shared" si="64"/>
        <v>0</v>
      </c>
      <c r="AL163" s="22"/>
      <c r="AM163" s="151"/>
      <c r="AN163" s="151"/>
      <c r="AO163" s="151"/>
      <c r="AP163" s="151"/>
      <c r="AQ163" s="151"/>
      <c r="AR163" s="151"/>
      <c r="AS163" s="13"/>
      <c r="AT163" s="95"/>
      <c r="AU163" s="96"/>
      <c r="AV163" s="97"/>
    </row>
    <row r="164" spans="1:48" x14ac:dyDescent="0.25">
      <c r="A164" s="11" t="s">
        <v>1033</v>
      </c>
      <c r="B164" s="60" t="s">
        <v>86</v>
      </c>
      <c r="C164" s="62">
        <v>2015</v>
      </c>
      <c r="D164" s="1">
        <f t="shared" si="56"/>
        <v>0</v>
      </c>
      <c r="J164" s="256"/>
      <c r="K164" s="256"/>
      <c r="L164" s="256">
        <f>0</f>
        <v>0</v>
      </c>
      <c r="M164" s="256"/>
      <c r="N164" s="267">
        <f t="shared" si="57"/>
        <v>0</v>
      </c>
      <c r="P164" s="96">
        <f t="shared" si="58"/>
        <v>0</v>
      </c>
      <c r="Q164" s="97">
        <f t="shared" si="59"/>
        <v>0</v>
      </c>
      <c r="R164" s="256"/>
      <c r="S164" s="256">
        <f>0</f>
        <v>0</v>
      </c>
      <c r="T164" s="256"/>
      <c r="U164" s="256"/>
      <c r="V164" s="256"/>
      <c r="W164" s="256"/>
      <c r="X164" s="256"/>
      <c r="Y164" s="215">
        <f t="shared" si="60"/>
        <v>0</v>
      </c>
      <c r="Z164" s="152"/>
      <c r="AA164" s="96">
        <f t="shared" si="61"/>
        <v>0</v>
      </c>
      <c r="AB164" s="97">
        <f t="shared" si="62"/>
        <v>0</v>
      </c>
      <c r="AE164" s="256"/>
      <c r="AF164" s="256"/>
      <c r="AG164" s="256"/>
      <c r="AH164" s="256"/>
      <c r="AI164" s="120"/>
      <c r="AJ164" s="96">
        <f t="shared" si="63"/>
        <v>0</v>
      </c>
      <c r="AK164" s="97">
        <f t="shared" si="64"/>
        <v>0</v>
      </c>
      <c r="AL164" s="22"/>
      <c r="AM164" s="151"/>
      <c r="AN164" s="151"/>
      <c r="AO164" s="151"/>
      <c r="AP164" s="151"/>
      <c r="AQ164" s="151"/>
      <c r="AR164" s="151"/>
      <c r="AS164" s="13"/>
      <c r="AT164" s="95"/>
      <c r="AU164" s="96"/>
      <c r="AV164" s="97"/>
    </row>
    <row r="165" spans="1:48" x14ac:dyDescent="0.25">
      <c r="A165" s="11" t="s">
        <v>1219</v>
      </c>
      <c r="B165" s="60" t="s">
        <v>834</v>
      </c>
      <c r="C165" s="3">
        <v>2014</v>
      </c>
      <c r="D165" s="1">
        <f t="shared" si="56"/>
        <v>64</v>
      </c>
      <c r="E165" s="283">
        <f>48</f>
        <v>48</v>
      </c>
      <c r="I165" s="261">
        <f>16</f>
        <v>16</v>
      </c>
      <c r="J165" s="261"/>
      <c r="K165" s="261">
        <f>0</f>
        <v>0</v>
      </c>
      <c r="L165" s="261"/>
      <c r="M165" s="261"/>
      <c r="N165" s="267">
        <f t="shared" si="57"/>
        <v>0</v>
      </c>
      <c r="P165" s="96">
        <f t="shared" si="58"/>
        <v>16</v>
      </c>
      <c r="Q165" s="97">
        <f t="shared" si="59"/>
        <v>16</v>
      </c>
      <c r="R165" s="261"/>
      <c r="S165" s="261"/>
      <c r="T165" s="261"/>
      <c r="U165" s="261"/>
      <c r="V165" s="261"/>
      <c r="W165" s="261"/>
      <c r="X165" s="261"/>
      <c r="Z165" s="287"/>
      <c r="AE165" s="168"/>
      <c r="AF165" s="168"/>
      <c r="AG165" s="168"/>
      <c r="AH165" s="168"/>
      <c r="AI165" s="287"/>
      <c r="AL165" s="285"/>
      <c r="AM165" s="261"/>
      <c r="AN165" s="261"/>
      <c r="AO165" s="261"/>
      <c r="AP165" s="261"/>
      <c r="AQ165" s="261"/>
      <c r="AR165" s="261"/>
      <c r="AS165" s="259"/>
    </row>
    <row r="166" spans="1:48" x14ac:dyDescent="0.25">
      <c r="A166" s="11" t="s">
        <v>1022</v>
      </c>
      <c r="B166" s="60" t="s">
        <v>86</v>
      </c>
      <c r="C166" s="62">
        <v>2014</v>
      </c>
      <c r="D166" s="1">
        <f t="shared" si="56"/>
        <v>54</v>
      </c>
      <c r="J166" s="261"/>
      <c r="K166" s="261"/>
      <c r="L166" s="261">
        <f>0</f>
        <v>0</v>
      </c>
      <c r="M166" s="261"/>
      <c r="N166" s="267">
        <f t="shared" si="57"/>
        <v>54</v>
      </c>
      <c r="P166" s="96">
        <f t="shared" si="58"/>
        <v>54</v>
      </c>
      <c r="Q166" s="97">
        <f t="shared" si="59"/>
        <v>54</v>
      </c>
      <c r="R166" s="261"/>
      <c r="S166" s="261">
        <f>54</f>
        <v>54</v>
      </c>
      <c r="T166" s="261"/>
      <c r="U166" s="261"/>
      <c r="V166" s="261"/>
      <c r="W166" s="261"/>
      <c r="X166" s="261"/>
      <c r="Y166" s="215">
        <f>AK166</f>
        <v>0</v>
      </c>
      <c r="Z166" s="152"/>
      <c r="AA166" s="96">
        <f>AM166+S166+T166+U166+V166+W166+X166+Y166</f>
        <v>54</v>
      </c>
      <c r="AB166" s="97">
        <f>IF(C166=2017, AA166/3,AA166)+Z166</f>
        <v>54</v>
      </c>
      <c r="AE166" s="261"/>
      <c r="AF166" s="261"/>
      <c r="AG166" s="261"/>
      <c r="AH166" s="261"/>
      <c r="AI166" s="120"/>
      <c r="AJ166" s="96">
        <f>SUM(AE166:AH166)</f>
        <v>0</v>
      </c>
      <c r="AK166" s="97">
        <f>IF(C166=2016, AJ166/3,AJ166)+AI166</f>
        <v>0</v>
      </c>
      <c r="AL166" s="22"/>
      <c r="AM166" s="151"/>
      <c r="AN166" s="151"/>
      <c r="AO166" s="151"/>
      <c r="AP166" s="151"/>
      <c r="AQ166" s="151"/>
      <c r="AR166" s="151"/>
      <c r="AS166" s="13"/>
      <c r="AT166" s="95"/>
      <c r="AU166" s="96"/>
      <c r="AV166" s="97"/>
    </row>
    <row r="167" spans="1:48" x14ac:dyDescent="0.25">
      <c r="A167" s="71" t="s">
        <v>234</v>
      </c>
      <c r="B167" s="71" t="s">
        <v>231</v>
      </c>
      <c r="C167" s="3">
        <v>2015</v>
      </c>
      <c r="D167" s="1">
        <f t="shared" si="56"/>
        <v>27</v>
      </c>
      <c r="E167" s="287"/>
      <c r="F167" s="287"/>
      <c r="H167" s="290"/>
      <c r="I167" s="287"/>
      <c r="J167" s="287"/>
      <c r="K167" s="287"/>
      <c r="L167" s="287"/>
      <c r="M167" s="287"/>
      <c r="N167" s="267">
        <f t="shared" si="57"/>
        <v>27</v>
      </c>
      <c r="P167" s="96">
        <f t="shared" si="58"/>
        <v>27</v>
      </c>
      <c r="Q167" s="97">
        <f t="shared" si="59"/>
        <v>27</v>
      </c>
      <c r="R167" s="287"/>
      <c r="S167" s="287"/>
      <c r="T167" s="287"/>
      <c r="U167" s="287"/>
      <c r="V167" s="287"/>
      <c r="W167" s="287"/>
      <c r="X167" s="287"/>
      <c r="Y167" s="215">
        <f>AK167</f>
        <v>27</v>
      </c>
      <c r="Z167" s="120"/>
      <c r="AA167" s="96">
        <f>AM167+S167+T167+U167+V167+W167+X167+Y167</f>
        <v>27</v>
      </c>
      <c r="AB167" s="97">
        <f>IF(C167=2017, AA167/3,AA167)+Z167</f>
        <v>27</v>
      </c>
      <c r="AC167" s="290"/>
      <c r="AD167" s="290"/>
      <c r="AE167" s="287"/>
      <c r="AF167" s="287"/>
      <c r="AG167" s="287"/>
      <c r="AH167" s="287">
        <f>AV167</f>
        <v>27</v>
      </c>
      <c r="AI167" s="120"/>
      <c r="AJ167" s="96">
        <f>SUM(AE167:AH167)</f>
        <v>27</v>
      </c>
      <c r="AK167" s="97">
        <f>IF(C167=2016, AJ167/3,AJ167)+AI167</f>
        <v>27</v>
      </c>
      <c r="AL167" s="22"/>
      <c r="AM167" s="41"/>
      <c r="AN167" s="41"/>
      <c r="AO167" s="41">
        <f>81</f>
        <v>81</v>
      </c>
      <c r="AP167" s="41"/>
      <c r="AQ167" s="41"/>
      <c r="AR167" s="41"/>
      <c r="AS167" s="13"/>
      <c r="AT167" s="95"/>
      <c r="AU167" s="96">
        <f>SUM(AM167:AS167)</f>
        <v>81</v>
      </c>
      <c r="AV167" s="97">
        <f>IF(C167=2015, AU167/3,AU167)+AT167</f>
        <v>27</v>
      </c>
    </row>
    <row r="168" spans="1:48" x14ac:dyDescent="0.25">
      <c r="A168" s="11" t="s">
        <v>1092</v>
      </c>
      <c r="B168" s="11" t="s">
        <v>63</v>
      </c>
      <c r="C168" s="62">
        <v>2014</v>
      </c>
      <c r="D168" s="1">
        <f t="shared" si="56"/>
        <v>84</v>
      </c>
      <c r="G168" s="120">
        <f>2+2</f>
        <v>4</v>
      </c>
      <c r="K168" s="241">
        <f>26</f>
        <v>26</v>
      </c>
      <c r="L168" s="228">
        <f>41+13</f>
        <v>54</v>
      </c>
      <c r="N168" s="267">
        <f t="shared" si="57"/>
        <v>0</v>
      </c>
      <c r="O168" s="120">
        <f>2+2</f>
        <v>4</v>
      </c>
      <c r="P168" s="96">
        <f t="shared" si="58"/>
        <v>80</v>
      </c>
      <c r="Q168" s="97">
        <f t="shared" si="59"/>
        <v>84</v>
      </c>
      <c r="Z168" s="152"/>
      <c r="AA168" s="96"/>
      <c r="AB168" s="97"/>
      <c r="AI168" s="120"/>
      <c r="AJ168" s="96"/>
      <c r="AK168" s="97"/>
      <c r="AL168" s="22"/>
      <c r="AM168" s="151"/>
      <c r="AN168" s="151"/>
      <c r="AO168" s="151"/>
      <c r="AP168" s="151"/>
      <c r="AQ168" s="151"/>
      <c r="AR168" s="151"/>
      <c r="AS168" s="13"/>
      <c r="AT168" s="95"/>
      <c r="AU168" s="96"/>
      <c r="AV168" s="97"/>
    </row>
    <row r="169" spans="1:48" x14ac:dyDescent="0.25">
      <c r="A169" s="11" t="s">
        <v>1421</v>
      </c>
      <c r="B169" s="60" t="s">
        <v>63</v>
      </c>
      <c r="C169" s="62">
        <v>2016</v>
      </c>
      <c r="D169" s="1">
        <f t="shared" si="56"/>
        <v>11</v>
      </c>
      <c r="E169" s="283">
        <f>0</f>
        <v>0</v>
      </c>
      <c r="H169" s="280"/>
      <c r="K169" s="241">
        <f>0</f>
        <v>0</v>
      </c>
      <c r="L169" s="231"/>
      <c r="M169" s="231"/>
      <c r="N169" s="267">
        <f t="shared" si="57"/>
        <v>11</v>
      </c>
      <c r="P169" s="96">
        <f t="shared" si="58"/>
        <v>11</v>
      </c>
      <c r="Q169" s="97">
        <f t="shared" si="59"/>
        <v>11</v>
      </c>
      <c r="R169" s="231"/>
      <c r="S169" s="231">
        <f>0</f>
        <v>0</v>
      </c>
      <c r="T169" s="231">
        <f>0</f>
        <v>0</v>
      </c>
      <c r="U169" s="231">
        <f>0+1</f>
        <v>1</v>
      </c>
      <c r="V169" s="231">
        <f>0</f>
        <v>0</v>
      </c>
      <c r="W169" s="231">
        <f>0+1</f>
        <v>1</v>
      </c>
      <c r="X169" s="231">
        <f>9</f>
        <v>9</v>
      </c>
      <c r="Y169" s="215">
        <f>AK169</f>
        <v>0</v>
      </c>
      <c r="Z169" s="152"/>
      <c r="AA169" s="96">
        <f>AM169+S169+T169+U169+V169+W169+X169+Y169</f>
        <v>11</v>
      </c>
      <c r="AB169" s="97">
        <f>IF(C169=2017, AA169/3,AA169)+Z169</f>
        <v>11</v>
      </c>
      <c r="AC169" s="232"/>
      <c r="AD169" s="232"/>
      <c r="AE169" s="231"/>
      <c r="AF169" s="231"/>
      <c r="AG169" s="231"/>
      <c r="AH169" s="231"/>
      <c r="AI169" s="120"/>
      <c r="AJ169" s="96">
        <f>SUM(AE169:AH169)</f>
        <v>0</v>
      </c>
      <c r="AK169" s="97">
        <f>IF(C169=2016, AJ169/3,AJ169)+AI169</f>
        <v>0</v>
      </c>
      <c r="AL169" s="22"/>
      <c r="AM169" s="151"/>
      <c r="AN169" s="151"/>
      <c r="AO169" s="151"/>
      <c r="AP169" s="151"/>
      <c r="AQ169" s="151"/>
      <c r="AR169" s="151"/>
      <c r="AS169" s="13"/>
      <c r="AT169" s="95"/>
      <c r="AU169" s="96"/>
      <c r="AV169" s="97"/>
    </row>
    <row r="170" spans="1:48" x14ac:dyDescent="0.25">
      <c r="A170" s="11" t="s">
        <v>1097</v>
      </c>
      <c r="B170" s="60" t="s">
        <v>7</v>
      </c>
      <c r="C170" s="62">
        <v>2016</v>
      </c>
      <c r="D170" s="1">
        <f t="shared" si="56"/>
        <v>24</v>
      </c>
      <c r="E170" s="287"/>
      <c r="F170" s="287"/>
      <c r="I170" s="287"/>
      <c r="J170" s="287"/>
      <c r="K170" s="287"/>
      <c r="L170" s="287">
        <f>24</f>
        <v>24</v>
      </c>
      <c r="M170" s="287"/>
      <c r="N170" s="267">
        <f t="shared" si="57"/>
        <v>0</v>
      </c>
      <c r="P170" s="96">
        <f t="shared" si="58"/>
        <v>24</v>
      </c>
      <c r="Q170" s="97">
        <f t="shared" si="59"/>
        <v>24</v>
      </c>
      <c r="R170" s="287"/>
      <c r="S170" s="287"/>
      <c r="T170" s="287"/>
      <c r="U170" s="287"/>
      <c r="V170" s="287"/>
      <c r="W170" s="287"/>
      <c r="X170" s="287"/>
      <c r="Y170" s="228"/>
      <c r="Z170" s="152"/>
      <c r="AA170" s="96"/>
      <c r="AB170" s="97"/>
      <c r="AE170" s="287"/>
      <c r="AF170" s="287"/>
      <c r="AG170" s="287"/>
      <c r="AH170" s="287"/>
      <c r="AI170" s="120"/>
      <c r="AJ170" s="96"/>
      <c r="AK170" s="97"/>
      <c r="AL170" s="22"/>
      <c r="AM170" s="151"/>
      <c r="AN170" s="151"/>
      <c r="AO170" s="151"/>
      <c r="AP170" s="151"/>
      <c r="AQ170" s="151"/>
      <c r="AR170" s="151"/>
      <c r="AS170" s="13"/>
      <c r="AT170" s="95"/>
      <c r="AU170" s="96"/>
      <c r="AV170" s="97"/>
    </row>
    <row r="171" spans="1:48" x14ac:dyDescent="0.25">
      <c r="A171" s="45" t="s">
        <v>463</v>
      </c>
      <c r="B171" s="66" t="s">
        <v>63</v>
      </c>
      <c r="C171" s="46">
        <v>2016</v>
      </c>
      <c r="D171" s="1">
        <f t="shared" si="56"/>
        <v>296</v>
      </c>
      <c r="E171" s="154">
        <f>18</f>
        <v>18</v>
      </c>
      <c r="F171" s="154"/>
      <c r="H171" s="290"/>
      <c r="I171" s="154">
        <f>76</f>
        <v>76</v>
      </c>
      <c r="J171" s="154">
        <v>54</v>
      </c>
      <c r="K171" s="154">
        <f>27</f>
        <v>27</v>
      </c>
      <c r="L171" s="154"/>
      <c r="M171" s="154"/>
      <c r="N171" s="267">
        <f t="shared" si="57"/>
        <v>121</v>
      </c>
      <c r="P171" s="96">
        <f t="shared" si="58"/>
        <v>278</v>
      </c>
      <c r="Q171" s="97">
        <f t="shared" si="59"/>
        <v>278</v>
      </c>
      <c r="R171" s="154"/>
      <c r="S171" s="154">
        <f>30</f>
        <v>30</v>
      </c>
      <c r="T171" s="154">
        <f>22</f>
        <v>22</v>
      </c>
      <c r="U171" s="154">
        <f>12</f>
        <v>12</v>
      </c>
      <c r="V171" s="154">
        <f>16+3</f>
        <v>19</v>
      </c>
      <c r="W171" s="154">
        <f>0+3+6</f>
        <v>9</v>
      </c>
      <c r="X171" s="154">
        <f>16</f>
        <v>16</v>
      </c>
      <c r="Y171" s="215">
        <f>AK171</f>
        <v>13</v>
      </c>
      <c r="Z171" s="122"/>
      <c r="AA171" s="96">
        <f>AM171+S171+T171+U171+V171+W171+X171+Y171</f>
        <v>121</v>
      </c>
      <c r="AB171" s="97">
        <f>IF(C171=2017, AA171/3,AA171)+Z171</f>
        <v>121</v>
      </c>
      <c r="AC171" s="290"/>
      <c r="AD171" s="290"/>
      <c r="AE171" s="108">
        <f>12</f>
        <v>12</v>
      </c>
      <c r="AF171" s="108">
        <f>21</f>
        <v>21</v>
      </c>
      <c r="AG171" s="108"/>
      <c r="AH171" s="108">
        <f>AV171</f>
        <v>6</v>
      </c>
      <c r="AI171" s="122"/>
      <c r="AJ171" s="96">
        <f>SUM(AE171:AH171)</f>
        <v>39</v>
      </c>
      <c r="AK171" s="97">
        <f>IF(C171=2016, AJ171/3,AJ171)+AI171</f>
        <v>13</v>
      </c>
      <c r="AL171" s="101"/>
      <c r="AM171" s="41"/>
      <c r="AN171" s="41"/>
      <c r="AO171" s="41"/>
      <c r="AP171" s="41"/>
      <c r="AQ171" s="41"/>
      <c r="AR171" s="41">
        <f>6</f>
        <v>6</v>
      </c>
      <c r="AS171" s="286"/>
      <c r="AU171" s="96">
        <f>SUM(AM171:AS171)</f>
        <v>6</v>
      </c>
      <c r="AV171" s="97">
        <f>IF(C171=2015, AU171/3,AU171)+AT171</f>
        <v>6</v>
      </c>
    </row>
    <row r="172" spans="1:48" x14ac:dyDescent="0.25">
      <c r="A172" s="11" t="s">
        <v>953</v>
      </c>
      <c r="B172" s="60" t="s">
        <v>938</v>
      </c>
      <c r="C172" s="62">
        <v>2014</v>
      </c>
      <c r="D172" s="1">
        <f t="shared" si="56"/>
        <v>32</v>
      </c>
      <c r="E172" s="283">
        <f>0+30</f>
        <v>30</v>
      </c>
      <c r="N172" s="267">
        <f t="shared" si="57"/>
        <v>2</v>
      </c>
      <c r="P172" s="96">
        <f t="shared" si="58"/>
        <v>2</v>
      </c>
      <c r="Q172" s="97">
        <f t="shared" si="59"/>
        <v>2</v>
      </c>
      <c r="T172" s="192">
        <f>0+2</f>
        <v>2</v>
      </c>
      <c r="Y172" s="215">
        <f>AK172</f>
        <v>0</v>
      </c>
      <c r="Z172" s="152"/>
      <c r="AA172" s="96">
        <f>AM172+S172+T172+U172+V172+W172+X172+Y172</f>
        <v>2</v>
      </c>
      <c r="AB172" s="97">
        <f>IF(C172=2017, AA172/3,AA172)+Z172</f>
        <v>2</v>
      </c>
      <c r="AI172" s="120"/>
      <c r="AJ172" s="96">
        <f>SUM(AE172:AH172)</f>
        <v>0</v>
      </c>
      <c r="AK172" s="97">
        <f>IF(C172=2016, AJ172/3,AJ172)+AI172</f>
        <v>0</v>
      </c>
      <c r="AL172" s="22"/>
      <c r="AM172" s="151"/>
      <c r="AN172" s="151"/>
      <c r="AO172" s="151"/>
      <c r="AP172" s="151"/>
      <c r="AQ172" s="151"/>
      <c r="AR172" s="151"/>
      <c r="AS172" s="13"/>
      <c r="AT172" s="95"/>
      <c r="AU172" s="96"/>
      <c r="AV172" s="97"/>
    </row>
    <row r="173" spans="1:48" x14ac:dyDescent="0.25">
      <c r="A173" s="45" t="s">
        <v>873</v>
      </c>
      <c r="B173" s="66" t="s">
        <v>404</v>
      </c>
      <c r="C173" s="46">
        <v>2016</v>
      </c>
      <c r="D173" s="1">
        <f t="shared" si="56"/>
        <v>2</v>
      </c>
      <c r="E173" s="108"/>
      <c r="F173" s="108"/>
      <c r="I173" s="108"/>
      <c r="J173" s="108"/>
      <c r="K173" s="108"/>
      <c r="L173" s="108"/>
      <c r="M173" s="108"/>
      <c r="N173" s="267">
        <f t="shared" si="57"/>
        <v>2</v>
      </c>
      <c r="P173" s="96">
        <f t="shared" si="58"/>
        <v>2</v>
      </c>
      <c r="Q173" s="97">
        <f t="shared" si="59"/>
        <v>2</v>
      </c>
      <c r="R173" s="108"/>
      <c r="S173" s="108"/>
      <c r="T173" s="108"/>
      <c r="U173" s="108"/>
      <c r="V173" s="108">
        <f>2</f>
        <v>2</v>
      </c>
      <c r="W173" s="108"/>
      <c r="X173" s="108"/>
      <c r="Y173" s="215">
        <f>AK173</f>
        <v>0</v>
      </c>
      <c r="Z173" s="101"/>
      <c r="AA173" s="96">
        <f>AM173+S173+T173+U173+V173+W173+X173+Y173</f>
        <v>2</v>
      </c>
      <c r="AB173" s="97">
        <f>IF(C173=2017, AA173/3,AA173)+Z173</f>
        <v>2</v>
      </c>
      <c r="AE173" s="108"/>
      <c r="AF173" s="108"/>
      <c r="AG173" s="108"/>
      <c r="AH173" s="122"/>
      <c r="AI173" s="74"/>
      <c r="AJ173" s="96">
        <f>SUM(AE173:AH173)</f>
        <v>0</v>
      </c>
      <c r="AK173" s="97">
        <f>IF(C173=2016, AJ173/3,AJ173)+AI173</f>
        <v>0</v>
      </c>
      <c r="AL173" s="41"/>
      <c r="AM173" s="41"/>
      <c r="AN173" s="41"/>
      <c r="AO173" s="41"/>
      <c r="AP173" s="41"/>
      <c r="AQ173" s="41"/>
      <c r="AR173" s="41"/>
      <c r="AS173" s="74"/>
    </row>
    <row r="174" spans="1:48" x14ac:dyDescent="0.25">
      <c r="A174" s="45" t="s">
        <v>945</v>
      </c>
      <c r="B174" s="66" t="s">
        <v>0</v>
      </c>
      <c r="C174" s="46">
        <v>2014</v>
      </c>
      <c r="D174" s="1">
        <f t="shared" si="56"/>
        <v>245</v>
      </c>
      <c r="E174" s="108">
        <f>46</f>
        <v>46</v>
      </c>
      <c r="F174" s="108"/>
      <c r="I174" s="108">
        <f>72</f>
        <v>72</v>
      </c>
      <c r="J174" s="108">
        <f>9+15</f>
        <v>24</v>
      </c>
      <c r="K174" s="108">
        <f>9+7</f>
        <v>16</v>
      </c>
      <c r="L174" s="108">
        <f>32</f>
        <v>32</v>
      </c>
      <c r="M174" s="108"/>
      <c r="N174" s="267">
        <f t="shared" si="57"/>
        <v>55</v>
      </c>
      <c r="P174" s="96">
        <f t="shared" si="58"/>
        <v>199</v>
      </c>
      <c r="Q174" s="97">
        <f t="shared" si="59"/>
        <v>199</v>
      </c>
      <c r="R174" s="108"/>
      <c r="S174" s="108">
        <f>39</f>
        <v>39</v>
      </c>
      <c r="T174" s="108">
        <f>16</f>
        <v>16</v>
      </c>
      <c r="U174" s="108"/>
      <c r="V174" s="108"/>
      <c r="W174" s="108"/>
      <c r="X174" s="108"/>
      <c r="Y174" s="215">
        <f>AK174</f>
        <v>0</v>
      </c>
      <c r="Z174" s="101"/>
      <c r="AA174" s="96">
        <f>AM174+S174+T174+U174+V174+W174+X174+Y174</f>
        <v>55</v>
      </c>
      <c r="AB174" s="97">
        <f>IF(C174=2017, AA174/3,AA174)+Z174</f>
        <v>55</v>
      </c>
      <c r="AE174" s="108"/>
      <c r="AF174" s="108"/>
      <c r="AG174" s="108"/>
      <c r="AH174" s="122"/>
      <c r="AI174" s="74"/>
      <c r="AJ174" s="96">
        <f>SUM(AE174:AH174)</f>
        <v>0</v>
      </c>
      <c r="AK174" s="97">
        <f>IF(C174=2016, AJ174/3,AJ174)+AI174</f>
        <v>0</v>
      </c>
      <c r="AL174" s="41"/>
      <c r="AM174" s="41"/>
      <c r="AN174" s="41"/>
      <c r="AO174" s="41"/>
      <c r="AP174" s="41"/>
      <c r="AQ174" s="41"/>
      <c r="AR174" s="41"/>
      <c r="AS174" s="74"/>
    </row>
    <row r="175" spans="1:48" x14ac:dyDescent="0.25">
      <c r="A175" s="45" t="s">
        <v>1252</v>
      </c>
      <c r="B175" s="66" t="s">
        <v>296</v>
      </c>
      <c r="C175" s="46"/>
      <c r="D175" s="1">
        <f t="shared" si="56"/>
        <v>6</v>
      </c>
      <c r="E175" s="108"/>
      <c r="F175" s="108"/>
      <c r="I175" s="108"/>
      <c r="J175" s="108"/>
      <c r="K175" s="108">
        <f>6</f>
        <v>6</v>
      </c>
      <c r="L175" s="108"/>
      <c r="M175" s="108"/>
      <c r="N175" s="267">
        <f t="shared" si="57"/>
        <v>0</v>
      </c>
      <c r="P175" s="96">
        <f t="shared" si="58"/>
        <v>6</v>
      </c>
      <c r="Q175" s="97">
        <f t="shared" si="59"/>
        <v>6</v>
      </c>
      <c r="R175" s="108"/>
      <c r="S175" s="108"/>
      <c r="T175" s="108"/>
      <c r="U175" s="108"/>
      <c r="V175" s="108"/>
      <c r="W175" s="108"/>
      <c r="X175" s="108"/>
      <c r="Z175" s="101"/>
      <c r="AA175" s="96"/>
      <c r="AB175" s="97"/>
      <c r="AE175" s="108"/>
      <c r="AF175" s="108"/>
      <c r="AG175" s="108"/>
      <c r="AH175" s="122"/>
      <c r="AI175" s="74"/>
      <c r="AJ175" s="96"/>
      <c r="AK175" s="97"/>
      <c r="AL175" s="41"/>
      <c r="AM175" s="41"/>
      <c r="AN175" s="41"/>
      <c r="AO175" s="41"/>
      <c r="AP175" s="41"/>
      <c r="AQ175" s="41"/>
      <c r="AR175" s="41"/>
      <c r="AS175" s="74"/>
    </row>
    <row r="176" spans="1:48" x14ac:dyDescent="0.25">
      <c r="A176" s="11" t="s">
        <v>610</v>
      </c>
      <c r="B176" s="60" t="s">
        <v>231</v>
      </c>
      <c r="C176" s="62"/>
      <c r="D176" s="1">
        <f t="shared" si="56"/>
        <v>13</v>
      </c>
      <c r="H176" s="290"/>
      <c r="J176" s="261"/>
      <c r="K176" s="261"/>
      <c r="L176" s="261"/>
      <c r="M176" s="261"/>
      <c r="N176" s="267">
        <f t="shared" si="57"/>
        <v>13</v>
      </c>
      <c r="P176" s="96">
        <f t="shared" si="58"/>
        <v>13</v>
      </c>
      <c r="Q176" s="97">
        <f t="shared" si="59"/>
        <v>13</v>
      </c>
      <c r="R176" s="261"/>
      <c r="S176" s="261"/>
      <c r="T176" s="261"/>
      <c r="U176" s="261"/>
      <c r="V176" s="261"/>
      <c r="W176" s="261"/>
      <c r="X176" s="261"/>
      <c r="Y176" s="215">
        <f>AK176</f>
        <v>13</v>
      </c>
      <c r="Z176" s="152"/>
      <c r="AA176" s="96">
        <f>AM176+S176+T176+U176+V176+W176+X176+Y176</f>
        <v>13</v>
      </c>
      <c r="AB176" s="97">
        <f>IF(C176=2017, AA176/3,AA176)+Z176</f>
        <v>13</v>
      </c>
      <c r="AC176" s="290"/>
      <c r="AD176" s="290"/>
      <c r="AE176" s="261"/>
      <c r="AF176" s="261">
        <f>13</f>
        <v>13</v>
      </c>
      <c r="AG176" s="261"/>
      <c r="AH176" s="261"/>
      <c r="AI176" s="120"/>
      <c r="AJ176" s="96">
        <f>SUM(AE176:AH176)</f>
        <v>13</v>
      </c>
      <c r="AK176" s="97">
        <f>IF(C176=2016, AJ176/3,AJ176)+AI176</f>
        <v>13</v>
      </c>
      <c r="AL176" s="22"/>
      <c r="AM176" s="261"/>
      <c r="AN176" s="261"/>
      <c r="AO176" s="261"/>
      <c r="AP176" s="261"/>
      <c r="AQ176" s="261"/>
      <c r="AR176" s="261"/>
      <c r="AS176" s="259"/>
      <c r="AT176" s="95"/>
      <c r="AU176" s="96">
        <f>SUM(AM176:AS176)</f>
        <v>0</v>
      </c>
      <c r="AV176" s="97">
        <f>IF(C176=2015, AU176/3,AU176)+AT176</f>
        <v>0</v>
      </c>
    </row>
    <row r="177" spans="1:67" x14ac:dyDescent="0.25">
      <c r="A177" s="45" t="s">
        <v>465</v>
      </c>
      <c r="B177" s="66" t="s">
        <v>63</v>
      </c>
      <c r="C177" s="46">
        <v>2016</v>
      </c>
      <c r="D177" s="1">
        <f t="shared" si="56"/>
        <v>9.6666666666666661</v>
      </c>
      <c r="E177" s="154"/>
      <c r="F177" s="154"/>
      <c r="H177" s="280"/>
      <c r="I177" s="154"/>
      <c r="J177" s="154"/>
      <c r="K177" s="154"/>
      <c r="L177" s="154"/>
      <c r="M177" s="154"/>
      <c r="N177" s="267">
        <f t="shared" si="57"/>
        <v>9.6666666666666661</v>
      </c>
      <c r="P177" s="96">
        <f t="shared" si="58"/>
        <v>9.6666666666666661</v>
      </c>
      <c r="Q177" s="97">
        <f t="shared" si="59"/>
        <v>9.6666666666666661</v>
      </c>
      <c r="R177" s="154"/>
      <c r="S177" s="154"/>
      <c r="T177" s="154"/>
      <c r="U177" s="154"/>
      <c r="V177" s="154"/>
      <c r="W177" s="154"/>
      <c r="X177" s="154"/>
      <c r="Y177" s="215">
        <f>AK177</f>
        <v>9.6666666666666661</v>
      </c>
      <c r="Z177" s="122"/>
      <c r="AA177" s="96">
        <f>AM177+S177+T177+U177+V177+W177+X177+Y177</f>
        <v>9.6666666666666661</v>
      </c>
      <c r="AB177" s="97">
        <f>IF(C177=2017, AA177/3,AA177)+Z177</f>
        <v>9.6666666666666661</v>
      </c>
      <c r="AC177" s="257"/>
      <c r="AD177" s="257"/>
      <c r="AE177" s="108">
        <f>12</f>
        <v>12</v>
      </c>
      <c r="AF177" s="108">
        <f>17</f>
        <v>17</v>
      </c>
      <c r="AG177" s="108">
        <f>0</f>
        <v>0</v>
      </c>
      <c r="AH177" s="108">
        <f>AV177</f>
        <v>0</v>
      </c>
      <c r="AI177" s="122"/>
      <c r="AJ177" s="96">
        <f>SUM(AE177:AH177)</f>
        <v>29</v>
      </c>
      <c r="AK177" s="97">
        <f>IF(C177=2016, AJ177/3,AJ177)+AI177</f>
        <v>9.6666666666666661</v>
      </c>
      <c r="AL177" s="101"/>
      <c r="AM177" s="41"/>
      <c r="AN177" s="41"/>
      <c r="AO177" s="41"/>
      <c r="AP177" s="41"/>
      <c r="AQ177" s="41"/>
      <c r="AR177" s="41">
        <f>0</f>
        <v>0</v>
      </c>
      <c r="AS177" s="260"/>
      <c r="AU177" s="96">
        <f>SUM(AM177:AS177)</f>
        <v>0</v>
      </c>
      <c r="AV177" s="97">
        <f>IF(C177=2015, AU177/3,AU177)+AT177</f>
        <v>0</v>
      </c>
    </row>
    <row r="178" spans="1:67" x14ac:dyDescent="0.25">
      <c r="A178" s="45" t="s">
        <v>66</v>
      </c>
      <c r="B178" s="66" t="s">
        <v>63</v>
      </c>
      <c r="C178" s="46">
        <v>2015</v>
      </c>
      <c r="D178" s="1">
        <f t="shared" si="56"/>
        <v>12</v>
      </c>
      <c r="H178" s="280"/>
      <c r="J178" s="261"/>
      <c r="K178" s="261"/>
      <c r="L178" s="261"/>
      <c r="M178" s="261"/>
      <c r="N178" s="267">
        <f t="shared" si="57"/>
        <v>12</v>
      </c>
      <c r="P178" s="96">
        <f t="shared" si="58"/>
        <v>12</v>
      </c>
      <c r="Q178" s="97">
        <f t="shared" si="59"/>
        <v>12</v>
      </c>
      <c r="R178" s="261"/>
      <c r="S178" s="261"/>
      <c r="T178" s="261"/>
      <c r="U178" s="261"/>
      <c r="V178" s="261"/>
      <c r="W178" s="261"/>
      <c r="X178" s="261"/>
      <c r="Y178" s="215">
        <f>AK178</f>
        <v>12</v>
      </c>
      <c r="Z178" s="120"/>
      <c r="AA178" s="96">
        <f>AM178+S178+T178+U178+V178+W178+X178+Y178</f>
        <v>12</v>
      </c>
      <c r="AB178" s="97">
        <f>IF(C178=2017, AA178/3,AA178)+Z178</f>
        <v>12</v>
      </c>
      <c r="AC178" s="205"/>
      <c r="AD178" s="205"/>
      <c r="AE178" s="261"/>
      <c r="AF178" s="261"/>
      <c r="AG178" s="261"/>
      <c r="AH178" s="261">
        <f>AV178</f>
        <v>12</v>
      </c>
      <c r="AI178" s="120"/>
      <c r="AJ178" s="96">
        <f>SUM(AE178:AH178)</f>
        <v>12</v>
      </c>
      <c r="AK178" s="97">
        <f>IF(C178=2016, AJ178/3,AJ178)+AI178</f>
        <v>12</v>
      </c>
      <c r="AL178" s="101"/>
      <c r="AM178" s="41"/>
      <c r="AN178" s="41">
        <v>36</v>
      </c>
      <c r="AO178" s="41">
        <v>0</v>
      </c>
      <c r="AP178" s="41">
        <f>0</f>
        <v>0</v>
      </c>
      <c r="AQ178" s="41"/>
      <c r="AR178" s="41"/>
      <c r="AS178" s="286"/>
      <c r="AT178" s="95"/>
      <c r="AU178" s="96">
        <f>SUM(AM178:AS178)</f>
        <v>36</v>
      </c>
      <c r="AV178" s="97">
        <f>IF(C178=2015, AU178/3,AU178)+AT178</f>
        <v>12</v>
      </c>
    </row>
    <row r="179" spans="1:67" x14ac:dyDescent="0.25">
      <c r="A179" s="45" t="s">
        <v>1137</v>
      </c>
      <c r="B179" s="66" t="s">
        <v>476</v>
      </c>
      <c r="C179" s="46">
        <v>2015</v>
      </c>
      <c r="D179" s="1">
        <f t="shared" si="56"/>
        <v>0</v>
      </c>
      <c r="E179" s="108"/>
      <c r="F179" s="108"/>
      <c r="I179" s="108"/>
      <c r="J179" s="108"/>
      <c r="K179" s="108"/>
      <c r="L179" s="108">
        <f>0</f>
        <v>0</v>
      </c>
      <c r="M179" s="108"/>
      <c r="N179" s="267">
        <f t="shared" si="57"/>
        <v>0</v>
      </c>
      <c r="P179" s="96">
        <f t="shared" si="58"/>
        <v>0</v>
      </c>
      <c r="Q179" s="97">
        <f t="shared" si="59"/>
        <v>0</v>
      </c>
      <c r="R179" s="108"/>
      <c r="S179" s="108"/>
      <c r="T179" s="108"/>
      <c r="U179" s="108"/>
      <c r="V179" s="108"/>
      <c r="W179" s="108"/>
      <c r="X179" s="108"/>
      <c r="Z179" s="101"/>
      <c r="AA179" s="96"/>
      <c r="AB179" s="97"/>
      <c r="AE179" s="108"/>
      <c r="AF179" s="108"/>
      <c r="AG179" s="108"/>
      <c r="AH179" s="122"/>
      <c r="AI179" s="74"/>
      <c r="AJ179" s="96"/>
      <c r="AK179" s="97"/>
      <c r="AL179" s="41"/>
      <c r="AM179" s="41"/>
      <c r="AN179" s="41"/>
      <c r="AO179" s="41"/>
      <c r="AP179" s="41"/>
      <c r="AQ179" s="41"/>
      <c r="AR179" s="41"/>
      <c r="AS179" s="74"/>
    </row>
    <row r="180" spans="1:67" x14ac:dyDescent="0.25">
      <c r="A180" s="45" t="s">
        <v>1229</v>
      </c>
      <c r="B180" s="11" t="s">
        <v>63</v>
      </c>
      <c r="C180" s="46"/>
      <c r="D180" s="1">
        <f t="shared" si="56"/>
        <v>0</v>
      </c>
      <c r="E180" s="108"/>
      <c r="F180" s="108"/>
      <c r="I180" s="108"/>
      <c r="J180" s="108"/>
      <c r="K180" s="108">
        <f>0</f>
        <v>0</v>
      </c>
      <c r="L180" s="108"/>
      <c r="M180" s="108"/>
      <c r="N180" s="267">
        <f t="shared" si="57"/>
        <v>0</v>
      </c>
      <c r="P180" s="96">
        <f t="shared" si="58"/>
        <v>0</v>
      </c>
      <c r="Q180" s="97">
        <f t="shared" si="59"/>
        <v>0</v>
      </c>
      <c r="R180" s="108"/>
      <c r="S180" s="108"/>
      <c r="T180" s="108"/>
      <c r="U180" s="108"/>
      <c r="V180" s="108"/>
      <c r="W180" s="108"/>
      <c r="X180" s="108"/>
      <c r="Z180" s="101"/>
      <c r="AA180" s="96"/>
      <c r="AB180" s="97"/>
      <c r="AE180" s="108"/>
      <c r="AF180" s="108"/>
      <c r="AG180" s="108"/>
      <c r="AH180" s="122"/>
      <c r="AI180" s="74"/>
      <c r="AJ180" s="96"/>
      <c r="AK180" s="97"/>
      <c r="AL180" s="41"/>
      <c r="AM180" s="41"/>
      <c r="AN180" s="41"/>
      <c r="AO180" s="41"/>
      <c r="AP180" s="41"/>
      <c r="AQ180" s="41"/>
      <c r="AR180" s="41"/>
      <c r="AS180" s="74"/>
    </row>
    <row r="181" spans="1:67" x14ac:dyDescent="0.25">
      <c r="A181" s="71" t="s">
        <v>474</v>
      </c>
      <c r="B181" s="71" t="s">
        <v>7</v>
      </c>
      <c r="C181" s="72">
        <v>2014</v>
      </c>
      <c r="D181" s="1">
        <f t="shared" si="56"/>
        <v>59</v>
      </c>
      <c r="H181" s="280"/>
      <c r="J181" s="256"/>
      <c r="K181" s="256"/>
      <c r="L181" s="256"/>
      <c r="M181" s="256"/>
      <c r="N181" s="267">
        <f t="shared" si="57"/>
        <v>59</v>
      </c>
      <c r="P181" s="96">
        <f t="shared" si="58"/>
        <v>59</v>
      </c>
      <c r="Q181" s="97">
        <f t="shared" si="59"/>
        <v>59</v>
      </c>
      <c r="R181" s="256"/>
      <c r="S181" s="256"/>
      <c r="T181" s="256"/>
      <c r="U181" s="256"/>
      <c r="V181" s="256"/>
      <c r="W181" s="256"/>
      <c r="X181" s="256"/>
      <c r="Y181" s="228">
        <f>AK181</f>
        <v>59</v>
      </c>
      <c r="Z181" s="120"/>
      <c r="AA181" s="96">
        <f>AM181+S181+T181+U181+V181+W181+X181+Y181</f>
        <v>59</v>
      </c>
      <c r="AB181" s="97">
        <f>IF(C181=2017, AA181/3,AA181)+Z181</f>
        <v>59</v>
      </c>
      <c r="AC181" s="257"/>
      <c r="AD181" s="257"/>
      <c r="AE181" s="228">
        <f>17</f>
        <v>17</v>
      </c>
      <c r="AF181" s="228">
        <f>25</f>
        <v>25</v>
      </c>
      <c r="AG181" s="228">
        <f>0</f>
        <v>0</v>
      </c>
      <c r="AH181" s="228">
        <f>AV181</f>
        <v>17</v>
      </c>
      <c r="AI181" s="120"/>
      <c r="AJ181" s="96">
        <f>SUM(AE181:AH181)</f>
        <v>59</v>
      </c>
      <c r="AK181" s="97">
        <f>IF(C181=2016, AJ181/3,AJ181)+AI181</f>
        <v>59</v>
      </c>
      <c r="AL181" s="22"/>
      <c r="AM181" s="287"/>
      <c r="AN181" s="287"/>
      <c r="AO181" s="287"/>
      <c r="AP181" s="287"/>
      <c r="AQ181" s="287"/>
      <c r="AR181" s="287">
        <f>17</f>
        <v>17</v>
      </c>
      <c r="AS181" s="285"/>
      <c r="AT181" s="95"/>
      <c r="AU181" s="96">
        <f>SUM(AM181:AS181)</f>
        <v>17</v>
      </c>
      <c r="AV181" s="97">
        <f>IF(C181=2015, AU181/3,AU181)+AT181</f>
        <v>17</v>
      </c>
    </row>
    <row r="182" spans="1:67" x14ac:dyDescent="0.25">
      <c r="A182" s="71" t="s">
        <v>484</v>
      </c>
      <c r="B182" s="71" t="s">
        <v>7</v>
      </c>
      <c r="C182" s="72">
        <v>2014</v>
      </c>
      <c r="D182" s="1">
        <f t="shared" si="56"/>
        <v>197</v>
      </c>
      <c r="H182" s="290"/>
      <c r="J182" s="256"/>
      <c r="K182" s="256"/>
      <c r="L182" s="256"/>
      <c r="M182" s="256"/>
      <c r="N182" s="267">
        <f t="shared" si="57"/>
        <v>197</v>
      </c>
      <c r="P182" s="96">
        <f t="shared" si="58"/>
        <v>197</v>
      </c>
      <c r="Q182" s="97">
        <f t="shared" si="59"/>
        <v>197</v>
      </c>
      <c r="R182" s="256"/>
      <c r="S182" s="256"/>
      <c r="T182" s="256"/>
      <c r="U182" s="256"/>
      <c r="V182" s="256">
        <f>0</f>
        <v>0</v>
      </c>
      <c r="W182" s="256">
        <f>22</f>
        <v>22</v>
      </c>
      <c r="X182" s="256">
        <f>12</f>
        <v>12</v>
      </c>
      <c r="Y182" s="215">
        <f>AK182</f>
        <v>163</v>
      </c>
      <c r="Z182" s="120"/>
      <c r="AA182" s="96">
        <f>AM182+S182+T182+U182+V182+W182+X182+Y182</f>
        <v>197</v>
      </c>
      <c r="AB182" s="97">
        <f>IF(C182=2017, AA182/3,AA182)+Z182</f>
        <v>197</v>
      </c>
      <c r="AC182" s="290"/>
      <c r="AD182" s="290"/>
      <c r="AE182" s="192">
        <f>36+24</f>
        <v>60</v>
      </c>
      <c r="AF182" s="192">
        <f>12</f>
        <v>12</v>
      </c>
      <c r="AG182" s="192">
        <f>16+21+1</f>
        <v>38</v>
      </c>
      <c r="AH182" s="192">
        <f>AV182</f>
        <v>53</v>
      </c>
      <c r="AI182" s="120"/>
      <c r="AJ182" s="96">
        <f>SUM(AE182:AH182)</f>
        <v>163</v>
      </c>
      <c r="AK182" s="97">
        <f>IF(C182=2016, AJ182/3,AJ182)+AI182</f>
        <v>163</v>
      </c>
      <c r="AL182" s="22"/>
      <c r="AM182" s="256"/>
      <c r="AN182" s="256"/>
      <c r="AO182" s="256"/>
      <c r="AP182" s="256"/>
      <c r="AQ182" s="256"/>
      <c r="AR182" s="256">
        <f>36+15+2</f>
        <v>53</v>
      </c>
      <c r="AS182" s="254"/>
      <c r="AT182" s="95"/>
      <c r="AU182" s="96">
        <f>SUM(AM182:AS182)</f>
        <v>53</v>
      </c>
      <c r="AV182" s="97">
        <f>IF(C182=2015, AU182/3,AU182)+AT182</f>
        <v>53</v>
      </c>
    </row>
    <row r="183" spans="1:67" x14ac:dyDescent="0.25">
      <c r="A183" s="45" t="s">
        <v>1112</v>
      </c>
      <c r="B183" s="66" t="s">
        <v>86</v>
      </c>
      <c r="C183" s="46">
        <v>2015</v>
      </c>
      <c r="D183" s="1">
        <f t="shared" si="56"/>
        <v>10</v>
      </c>
      <c r="E183" s="108"/>
      <c r="F183" s="108"/>
      <c r="I183" s="108"/>
      <c r="J183" s="108"/>
      <c r="K183" s="108"/>
      <c r="L183" s="108">
        <f>0+10</f>
        <v>10</v>
      </c>
      <c r="M183" s="108"/>
      <c r="N183" s="267">
        <f t="shared" si="57"/>
        <v>0</v>
      </c>
      <c r="P183" s="96">
        <f t="shared" si="58"/>
        <v>10</v>
      </c>
      <c r="Q183" s="97">
        <f t="shared" si="59"/>
        <v>10</v>
      </c>
      <c r="R183" s="108"/>
      <c r="S183" s="108"/>
      <c r="T183" s="108"/>
      <c r="U183" s="108"/>
      <c r="V183" s="108"/>
      <c r="W183" s="108"/>
      <c r="X183" s="108"/>
      <c r="Z183" s="101"/>
      <c r="AA183" s="96"/>
      <c r="AB183" s="97"/>
      <c r="AE183" s="108"/>
      <c r="AF183" s="108"/>
      <c r="AG183" s="108"/>
      <c r="AH183" s="122"/>
      <c r="AI183" s="74"/>
      <c r="AJ183" s="96"/>
      <c r="AK183" s="97"/>
      <c r="AL183" s="41"/>
      <c r="AM183" s="41"/>
      <c r="AN183" s="41"/>
      <c r="AO183" s="41"/>
      <c r="AP183" s="41"/>
      <c r="AQ183" s="41"/>
      <c r="AR183" s="41"/>
      <c r="AS183" s="74"/>
    </row>
    <row r="184" spans="1:67" x14ac:dyDescent="0.25">
      <c r="A184" s="45" t="s">
        <v>69</v>
      </c>
      <c r="B184" s="66" t="s">
        <v>64</v>
      </c>
      <c r="C184" s="46">
        <v>2016</v>
      </c>
      <c r="D184" s="1">
        <f t="shared" si="56"/>
        <v>4</v>
      </c>
      <c r="E184" s="154"/>
      <c r="F184" s="154"/>
      <c r="H184" s="280"/>
      <c r="I184" s="154"/>
      <c r="J184" s="154"/>
      <c r="K184" s="154"/>
      <c r="L184" s="154"/>
      <c r="M184" s="154"/>
      <c r="N184" s="267">
        <f t="shared" si="57"/>
        <v>4</v>
      </c>
      <c r="P184" s="96">
        <f t="shared" si="58"/>
        <v>4</v>
      </c>
      <c r="Q184" s="97">
        <f t="shared" si="59"/>
        <v>4</v>
      </c>
      <c r="R184" s="154"/>
      <c r="S184" s="154"/>
      <c r="T184" s="154"/>
      <c r="U184" s="154"/>
      <c r="V184" s="154"/>
      <c r="W184" s="154"/>
      <c r="X184" s="154"/>
      <c r="Y184" s="241">
        <f>AK184</f>
        <v>4</v>
      </c>
      <c r="Z184" s="122"/>
      <c r="AA184" s="96">
        <f>AM184+S184+T184+U184+V184+W184+X184+Y184</f>
        <v>4</v>
      </c>
      <c r="AB184" s="97">
        <f>IF(C184=2017, AA184/3,AA184)+Z184</f>
        <v>4</v>
      </c>
      <c r="AC184" s="263"/>
      <c r="AD184" s="263"/>
      <c r="AE184" s="108"/>
      <c r="AF184" s="108"/>
      <c r="AG184" s="108"/>
      <c r="AH184" s="108">
        <f>AV184</f>
        <v>12</v>
      </c>
      <c r="AI184" s="122"/>
      <c r="AJ184" s="96">
        <f>SUM(AE184:AH184)</f>
        <v>12</v>
      </c>
      <c r="AK184" s="97">
        <f>IF(C184=2016, AJ184/3,AJ184)+AI184</f>
        <v>4</v>
      </c>
      <c r="AL184" s="101"/>
      <c r="AM184" s="41"/>
      <c r="AN184" s="41">
        <v>12</v>
      </c>
      <c r="AO184" s="41"/>
      <c r="AP184" s="41"/>
      <c r="AQ184" s="41"/>
      <c r="AR184" s="41"/>
      <c r="AS184" s="286"/>
      <c r="AU184" s="96">
        <f>SUM(AM184:AS184)</f>
        <v>12</v>
      </c>
      <c r="AV184" s="97">
        <f>IF(C184=2015, AU184/3,AU184)+AT184</f>
        <v>12</v>
      </c>
    </row>
    <row r="185" spans="1:67" x14ac:dyDescent="0.25">
      <c r="A185" s="45" t="s">
        <v>1106</v>
      </c>
      <c r="B185" s="66" t="s">
        <v>86</v>
      </c>
      <c r="C185" s="46">
        <v>2014</v>
      </c>
      <c r="D185" s="1">
        <f t="shared" si="56"/>
        <v>9</v>
      </c>
      <c r="E185" s="108"/>
      <c r="F185" s="108"/>
      <c r="I185" s="108"/>
      <c r="J185" s="108"/>
      <c r="K185" s="108"/>
      <c r="L185" s="108">
        <f>9</f>
        <v>9</v>
      </c>
      <c r="M185" s="108"/>
      <c r="N185" s="267">
        <f t="shared" si="57"/>
        <v>0</v>
      </c>
      <c r="P185" s="96">
        <f t="shared" si="58"/>
        <v>9</v>
      </c>
      <c r="Q185" s="97">
        <f t="shared" si="59"/>
        <v>9</v>
      </c>
      <c r="R185" s="108"/>
      <c r="S185" s="108"/>
      <c r="T185" s="108"/>
      <c r="U185" s="108"/>
      <c r="V185" s="108"/>
      <c r="W185" s="108"/>
      <c r="X185" s="108"/>
      <c r="Y185" s="241"/>
      <c r="Z185" s="101"/>
      <c r="AA185" s="96"/>
      <c r="AB185" s="97"/>
      <c r="AE185" s="108"/>
      <c r="AF185" s="108"/>
      <c r="AG185" s="108"/>
      <c r="AH185" s="122"/>
      <c r="AI185" s="74"/>
      <c r="AJ185" s="96"/>
      <c r="AK185" s="97"/>
      <c r="AL185" s="41"/>
      <c r="AM185" s="41"/>
      <c r="AN185" s="41"/>
      <c r="AO185" s="41"/>
      <c r="AP185" s="41"/>
      <c r="AQ185" s="41"/>
      <c r="AR185" s="41"/>
      <c r="AS185" s="74"/>
    </row>
    <row r="186" spans="1:67" x14ac:dyDescent="0.25">
      <c r="A186" s="71" t="s">
        <v>733</v>
      </c>
      <c r="B186" s="71" t="s">
        <v>63</v>
      </c>
      <c r="C186" s="72">
        <v>2015</v>
      </c>
      <c r="D186" s="1">
        <f t="shared" si="56"/>
        <v>24</v>
      </c>
      <c r="E186" s="287"/>
      <c r="F186" s="287"/>
      <c r="H186" s="280"/>
      <c r="I186" s="287"/>
      <c r="J186" s="287"/>
      <c r="K186" s="287"/>
      <c r="L186" s="287"/>
      <c r="M186" s="287"/>
      <c r="N186" s="267">
        <f t="shared" si="57"/>
        <v>24</v>
      </c>
      <c r="P186" s="96">
        <f t="shared" si="58"/>
        <v>24</v>
      </c>
      <c r="Q186" s="97">
        <f t="shared" si="59"/>
        <v>24</v>
      </c>
      <c r="R186" s="287"/>
      <c r="S186" s="287"/>
      <c r="T186" s="287"/>
      <c r="U186" s="287"/>
      <c r="V186" s="287"/>
      <c r="W186" s="287">
        <f>13</f>
        <v>13</v>
      </c>
      <c r="X186" s="287">
        <f>11</f>
        <v>11</v>
      </c>
      <c r="Y186" s="215">
        <f t="shared" ref="Y186:Y198" si="65">AK186</f>
        <v>0</v>
      </c>
      <c r="Z186" s="152"/>
      <c r="AA186" s="96">
        <f t="shared" ref="AA186:AA198" si="66">AM186+S186+T186+U186+V186+W186+X186+Y186</f>
        <v>24</v>
      </c>
      <c r="AB186" s="97">
        <f t="shared" ref="AB186:AB198" si="67">IF(C186=2017, AA186/3,AA186)+Z186</f>
        <v>24</v>
      </c>
      <c r="AC186" s="257"/>
      <c r="AD186" s="257"/>
      <c r="AE186" s="241"/>
      <c r="AF186" s="241"/>
      <c r="AG186" s="241"/>
      <c r="AH186" s="241"/>
      <c r="AI186" s="120"/>
      <c r="AJ186" s="96">
        <f t="shared" ref="AJ186:AJ198" si="68">SUM(AE186:AH186)</f>
        <v>0</v>
      </c>
      <c r="AK186" s="97">
        <f t="shared" ref="AK186:AK198" si="69">IF(C186=2016, AJ186/3,AJ186)+AI186</f>
        <v>0</v>
      </c>
      <c r="AL186" s="22"/>
      <c r="AM186" s="287"/>
      <c r="AN186" s="287"/>
      <c r="AO186" s="287"/>
      <c r="AP186" s="287"/>
      <c r="AQ186" s="287"/>
      <c r="AR186" s="287"/>
      <c r="AS186" s="285"/>
      <c r="AT186" s="95"/>
      <c r="AU186" s="96">
        <f>SUM(AM186:AS186)</f>
        <v>0</v>
      </c>
      <c r="AV186" s="97">
        <f>IF(C186=2015, AU186/3,AU186)+AT186</f>
        <v>0</v>
      </c>
    </row>
    <row r="187" spans="1:67" x14ac:dyDescent="0.25">
      <c r="A187" s="11" t="s">
        <v>1037</v>
      </c>
      <c r="B187" s="60" t="s">
        <v>86</v>
      </c>
      <c r="C187" s="62">
        <v>2014</v>
      </c>
      <c r="D187" s="1">
        <f t="shared" si="56"/>
        <v>0</v>
      </c>
      <c r="J187" s="256"/>
      <c r="K187" s="256"/>
      <c r="L187" s="256"/>
      <c r="M187" s="256"/>
      <c r="N187" s="267">
        <f t="shared" si="57"/>
        <v>0</v>
      </c>
      <c r="P187" s="96">
        <f t="shared" si="58"/>
        <v>0</v>
      </c>
      <c r="Q187" s="97">
        <f t="shared" si="59"/>
        <v>0</v>
      </c>
      <c r="R187" s="256"/>
      <c r="S187" s="256">
        <f>0</f>
        <v>0</v>
      </c>
      <c r="T187" s="256"/>
      <c r="U187" s="256"/>
      <c r="V187" s="256"/>
      <c r="W187" s="256"/>
      <c r="X187" s="256"/>
      <c r="Y187" s="241">
        <f t="shared" si="65"/>
        <v>0</v>
      </c>
      <c r="Z187" s="152"/>
      <c r="AA187" s="96">
        <f t="shared" si="66"/>
        <v>0</v>
      </c>
      <c r="AB187" s="97">
        <f t="shared" si="67"/>
        <v>0</v>
      </c>
      <c r="AE187" s="256"/>
      <c r="AF187" s="256"/>
      <c r="AG187" s="256"/>
      <c r="AH187" s="256"/>
      <c r="AI187" s="120"/>
      <c r="AJ187" s="96">
        <f t="shared" si="68"/>
        <v>0</v>
      </c>
      <c r="AK187" s="97">
        <f t="shared" si="69"/>
        <v>0</v>
      </c>
      <c r="AL187" s="22"/>
      <c r="AM187" s="256"/>
      <c r="AN187" s="256"/>
      <c r="AO187" s="256"/>
      <c r="AP187" s="256"/>
      <c r="AQ187" s="256"/>
      <c r="AR187" s="256"/>
      <c r="AS187" s="254"/>
      <c r="AT187" s="95"/>
      <c r="AU187" s="96"/>
      <c r="AV187" s="97"/>
    </row>
    <row r="188" spans="1:67" x14ac:dyDescent="0.25">
      <c r="A188" s="71" t="s">
        <v>613</v>
      </c>
      <c r="B188" s="71" t="s">
        <v>476</v>
      </c>
      <c r="C188" s="72">
        <v>2014</v>
      </c>
      <c r="D188" s="1">
        <f t="shared" si="56"/>
        <v>10</v>
      </c>
      <c r="H188" s="280"/>
      <c r="L188" s="228">
        <f>4</f>
        <v>4</v>
      </c>
      <c r="M188" s="228"/>
      <c r="N188" s="267">
        <f t="shared" si="57"/>
        <v>6</v>
      </c>
      <c r="P188" s="96">
        <f t="shared" si="58"/>
        <v>10</v>
      </c>
      <c r="Q188" s="97">
        <f t="shared" si="59"/>
        <v>10</v>
      </c>
      <c r="R188" s="228"/>
      <c r="S188" s="228"/>
      <c r="T188" s="228"/>
      <c r="U188" s="228"/>
      <c r="V188" s="228"/>
      <c r="W188" s="228"/>
      <c r="X188" s="228"/>
      <c r="Y188" s="228">
        <f t="shared" si="65"/>
        <v>6</v>
      </c>
      <c r="Z188" s="152"/>
      <c r="AA188" s="96">
        <f t="shared" si="66"/>
        <v>6</v>
      </c>
      <c r="AB188" s="97">
        <f t="shared" si="67"/>
        <v>6</v>
      </c>
      <c r="AC188" s="257"/>
      <c r="AD188" s="257"/>
      <c r="AE188" s="228"/>
      <c r="AF188" s="228">
        <f>6</f>
        <v>6</v>
      </c>
      <c r="AG188" s="228"/>
      <c r="AH188" s="228"/>
      <c r="AI188" s="120"/>
      <c r="AJ188" s="96">
        <f t="shared" si="68"/>
        <v>6</v>
      </c>
      <c r="AK188" s="97">
        <f t="shared" si="69"/>
        <v>6</v>
      </c>
      <c r="AL188" s="22"/>
      <c r="AM188" s="228"/>
      <c r="AN188" s="228"/>
      <c r="AO188" s="228"/>
      <c r="AP188" s="228"/>
      <c r="AQ188" s="228"/>
      <c r="AR188" s="228"/>
      <c r="AT188" s="95"/>
      <c r="AU188" s="96">
        <f>SUM(AM188:AS188)</f>
        <v>0</v>
      </c>
      <c r="AV188" s="97">
        <f>IF(C188=2015, AU188/3,AU188)+AT188</f>
        <v>0</v>
      </c>
    </row>
    <row r="189" spans="1:67" x14ac:dyDescent="0.25">
      <c r="A189" s="71" t="s">
        <v>863</v>
      </c>
      <c r="B189" s="71" t="s">
        <v>476</v>
      </c>
      <c r="C189" s="72">
        <v>2015</v>
      </c>
      <c r="D189" s="1">
        <f t="shared" si="56"/>
        <v>1</v>
      </c>
      <c r="E189" s="287"/>
      <c r="F189" s="287"/>
      <c r="I189" s="287"/>
      <c r="J189" s="287"/>
      <c r="K189" s="287"/>
      <c r="L189" s="287">
        <f>0</f>
        <v>0</v>
      </c>
      <c r="M189" s="287"/>
      <c r="N189" s="267">
        <f t="shared" si="57"/>
        <v>1</v>
      </c>
      <c r="P189" s="96">
        <f t="shared" si="58"/>
        <v>1</v>
      </c>
      <c r="Q189" s="97">
        <f t="shared" si="59"/>
        <v>1</v>
      </c>
      <c r="R189" s="287"/>
      <c r="S189" s="287"/>
      <c r="T189" s="287"/>
      <c r="U189" s="287"/>
      <c r="V189" s="287"/>
      <c r="W189" s="287">
        <f>1</f>
        <v>1</v>
      </c>
      <c r="X189" s="287"/>
      <c r="Y189" s="228">
        <f t="shared" si="65"/>
        <v>0</v>
      </c>
      <c r="Z189" s="152"/>
      <c r="AA189" s="96">
        <f t="shared" si="66"/>
        <v>1</v>
      </c>
      <c r="AB189" s="97">
        <f t="shared" si="67"/>
        <v>1</v>
      </c>
      <c r="AE189" s="287"/>
      <c r="AF189" s="287"/>
      <c r="AG189" s="287"/>
      <c r="AH189" s="287"/>
      <c r="AI189" s="120"/>
      <c r="AJ189" s="96">
        <f t="shared" si="68"/>
        <v>0</v>
      </c>
      <c r="AK189" s="97">
        <f t="shared" si="69"/>
        <v>0</v>
      </c>
      <c r="AL189" s="22"/>
      <c r="AM189" s="287"/>
      <c r="AN189" s="287"/>
      <c r="AO189" s="287"/>
      <c r="AP189" s="287"/>
      <c r="AQ189" s="287"/>
      <c r="AR189" s="287"/>
      <c r="AS189" s="285"/>
      <c r="AT189" s="95"/>
      <c r="AU189" s="96"/>
      <c r="AV189" s="97"/>
    </row>
    <row r="190" spans="1:67" x14ac:dyDescent="0.25">
      <c r="A190" s="71" t="s">
        <v>729</v>
      </c>
      <c r="B190" s="71" t="s">
        <v>63</v>
      </c>
      <c r="C190" s="72">
        <v>2014</v>
      </c>
      <c r="D190" s="1">
        <f t="shared" si="56"/>
        <v>54</v>
      </c>
      <c r="E190" s="283">
        <f>16</f>
        <v>16</v>
      </c>
      <c r="H190" s="280"/>
      <c r="I190" s="261">
        <f>16</f>
        <v>16</v>
      </c>
      <c r="J190" s="256"/>
      <c r="K190" s="256"/>
      <c r="L190" s="256"/>
      <c r="M190" s="256"/>
      <c r="N190" s="267">
        <f t="shared" si="57"/>
        <v>22</v>
      </c>
      <c r="P190" s="96">
        <f t="shared" ref="P190:P209" si="70">I190+J190+K190+L190+M190+N190</f>
        <v>38</v>
      </c>
      <c r="Q190" s="97">
        <f t="shared" si="59"/>
        <v>38</v>
      </c>
      <c r="R190" s="256"/>
      <c r="S190" s="256">
        <f>0</f>
        <v>0</v>
      </c>
      <c r="T190" s="256">
        <f>0</f>
        <v>0</v>
      </c>
      <c r="U190" s="256">
        <f>0+2</f>
        <v>2</v>
      </c>
      <c r="V190" s="256">
        <f>0</f>
        <v>0</v>
      </c>
      <c r="W190" s="256">
        <f>18+2</f>
        <v>20</v>
      </c>
      <c r="X190" s="256">
        <f>0</f>
        <v>0</v>
      </c>
      <c r="Y190" s="228">
        <f t="shared" si="65"/>
        <v>0</v>
      </c>
      <c r="Z190" s="152"/>
      <c r="AA190" s="96">
        <f t="shared" si="66"/>
        <v>22</v>
      </c>
      <c r="AB190" s="97">
        <f t="shared" si="67"/>
        <v>22</v>
      </c>
      <c r="AC190" s="257"/>
      <c r="AD190" s="257"/>
      <c r="AE190" s="256"/>
      <c r="AF190" s="256"/>
      <c r="AG190" s="256"/>
      <c r="AH190" s="256"/>
      <c r="AI190" s="120"/>
      <c r="AJ190" s="96">
        <f t="shared" si="68"/>
        <v>0</v>
      </c>
      <c r="AK190" s="97">
        <f t="shared" si="69"/>
        <v>0</v>
      </c>
      <c r="AL190" s="22"/>
      <c r="AM190" s="261"/>
      <c r="AN190" s="261"/>
      <c r="AO190" s="261"/>
      <c r="AP190" s="261"/>
      <c r="AQ190" s="261"/>
      <c r="AR190" s="261"/>
      <c r="AS190" s="259"/>
      <c r="AT190" s="95"/>
      <c r="AU190" s="96">
        <f>SUM(AM190:AS190)</f>
        <v>0</v>
      </c>
      <c r="AV190" s="97">
        <f>IF(C190=2015, AU190/3,AU190)+AT190</f>
        <v>0</v>
      </c>
    </row>
    <row r="191" spans="1:67" x14ac:dyDescent="0.25">
      <c r="A191" s="11" t="s">
        <v>480</v>
      </c>
      <c r="B191" s="11" t="s">
        <v>272</v>
      </c>
      <c r="C191" s="3">
        <v>2014</v>
      </c>
      <c r="D191" s="1">
        <f t="shared" si="56"/>
        <v>0</v>
      </c>
      <c r="H191" s="280"/>
      <c r="M191" s="228"/>
      <c r="N191" s="267">
        <f t="shared" si="57"/>
        <v>0</v>
      </c>
      <c r="P191" s="96">
        <f t="shared" si="70"/>
        <v>0</v>
      </c>
      <c r="Q191" s="97">
        <f t="shared" si="59"/>
        <v>0</v>
      </c>
      <c r="R191" s="228"/>
      <c r="S191" s="228"/>
      <c r="T191" s="228"/>
      <c r="U191" s="228"/>
      <c r="V191" s="228"/>
      <c r="W191" s="228"/>
      <c r="X191" s="228"/>
      <c r="Y191" s="228">
        <f t="shared" si="65"/>
        <v>0</v>
      </c>
      <c r="Z191" s="120"/>
      <c r="AA191" s="96">
        <f t="shared" si="66"/>
        <v>0</v>
      </c>
      <c r="AB191" s="97">
        <f t="shared" si="67"/>
        <v>0</v>
      </c>
      <c r="AC191" s="263"/>
      <c r="AD191" s="263"/>
      <c r="AE191" s="228"/>
      <c r="AF191" s="228"/>
      <c r="AG191" s="228"/>
      <c r="AH191" s="228">
        <f>AV191</f>
        <v>0</v>
      </c>
      <c r="AI191" s="120"/>
      <c r="AJ191" s="96">
        <f t="shared" si="68"/>
        <v>0</v>
      </c>
      <c r="AK191" s="97">
        <f t="shared" si="69"/>
        <v>0</v>
      </c>
      <c r="AL191" s="22"/>
      <c r="AM191" s="228"/>
      <c r="AN191" s="228"/>
      <c r="AO191" s="228"/>
      <c r="AP191" s="228"/>
      <c r="AQ191" s="228"/>
      <c r="AR191" s="228">
        <f>0</f>
        <v>0</v>
      </c>
      <c r="AT191" s="95"/>
      <c r="AU191" s="96">
        <f>SUM(AM191:AS191)</f>
        <v>0</v>
      </c>
      <c r="AV191" s="97">
        <f>IF(C191=2015, AU191/3,AU191)+AT191</f>
        <v>0</v>
      </c>
    </row>
    <row r="192" spans="1:67" s="17" customFormat="1" x14ac:dyDescent="0.25">
      <c r="A192" s="45" t="s">
        <v>872</v>
      </c>
      <c r="B192" s="66" t="s">
        <v>404</v>
      </c>
      <c r="C192" s="46">
        <v>2017</v>
      </c>
      <c r="D192" s="1">
        <f t="shared" si="56"/>
        <v>31.333333333333332</v>
      </c>
      <c r="E192" s="108"/>
      <c r="F192" s="108"/>
      <c r="G192" s="120"/>
      <c r="H192" s="101"/>
      <c r="I192" s="108"/>
      <c r="J192" s="108">
        <f>0+2</f>
        <v>2</v>
      </c>
      <c r="K192" s="108">
        <f>27</f>
        <v>27</v>
      </c>
      <c r="L192" s="108"/>
      <c r="M192" s="108"/>
      <c r="N192" s="267">
        <f t="shared" si="57"/>
        <v>2.3333333333333335</v>
      </c>
      <c r="O192" s="120"/>
      <c r="P192" s="96">
        <f t="shared" si="70"/>
        <v>31.333333333333332</v>
      </c>
      <c r="Q192" s="97">
        <f t="shared" si="59"/>
        <v>31.333333333333332</v>
      </c>
      <c r="R192" s="108"/>
      <c r="S192" s="108">
        <f>1</f>
        <v>1</v>
      </c>
      <c r="T192" s="108"/>
      <c r="U192" s="108"/>
      <c r="V192" s="108">
        <f>5+1</f>
        <v>6</v>
      </c>
      <c r="W192" s="108"/>
      <c r="X192" s="108"/>
      <c r="Y192" s="215">
        <f t="shared" si="65"/>
        <v>0</v>
      </c>
      <c r="Z192" s="122"/>
      <c r="AA192" s="96">
        <f t="shared" si="66"/>
        <v>7</v>
      </c>
      <c r="AB192" s="97">
        <f t="shared" si="67"/>
        <v>2.3333333333333335</v>
      </c>
      <c r="AC192" s="101"/>
      <c r="AD192" s="108"/>
      <c r="AE192" s="108"/>
      <c r="AF192" s="108"/>
      <c r="AG192" s="108"/>
      <c r="AH192" s="108"/>
      <c r="AI192" s="122"/>
      <c r="AJ192" s="96">
        <f t="shared" si="68"/>
        <v>0</v>
      </c>
      <c r="AK192" s="97">
        <f t="shared" si="69"/>
        <v>0</v>
      </c>
      <c r="AL192" s="101"/>
      <c r="AM192" s="41"/>
      <c r="AN192" s="41"/>
      <c r="AO192" s="41"/>
      <c r="AP192" s="41"/>
      <c r="AQ192" s="41"/>
      <c r="AR192" s="41"/>
      <c r="AS192" s="286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spans="1:67" s="17" customFormat="1" x14ac:dyDescent="0.25">
      <c r="A193" s="11" t="s">
        <v>831</v>
      </c>
      <c r="B193" s="11" t="s">
        <v>476</v>
      </c>
      <c r="C193" s="3">
        <v>2014</v>
      </c>
      <c r="D193" s="1">
        <f t="shared" si="56"/>
        <v>16</v>
      </c>
      <c r="E193" s="283"/>
      <c r="F193" s="278"/>
      <c r="G193" s="120"/>
      <c r="H193" s="290"/>
      <c r="I193" s="261"/>
      <c r="J193" s="246"/>
      <c r="K193" s="241"/>
      <c r="L193" s="228"/>
      <c r="M193" s="215"/>
      <c r="N193" s="267">
        <f t="shared" si="57"/>
        <v>16</v>
      </c>
      <c r="O193" s="120"/>
      <c r="P193" s="96">
        <f t="shared" si="70"/>
        <v>16</v>
      </c>
      <c r="Q193" s="97">
        <f t="shared" si="59"/>
        <v>16</v>
      </c>
      <c r="R193" s="215"/>
      <c r="S193" s="201"/>
      <c r="T193" s="192"/>
      <c r="U193" s="192"/>
      <c r="V193" s="192"/>
      <c r="W193" s="192">
        <f>13+2+1</f>
        <v>16</v>
      </c>
      <c r="X193" s="192"/>
      <c r="Y193" s="215">
        <f t="shared" si="65"/>
        <v>0</v>
      </c>
      <c r="Z193" s="152"/>
      <c r="AA193" s="96">
        <f t="shared" si="66"/>
        <v>16</v>
      </c>
      <c r="AB193" s="97">
        <f t="shared" si="67"/>
        <v>16</v>
      </c>
      <c r="AC193" s="290"/>
      <c r="AD193" s="290"/>
      <c r="AE193" s="192">
        <f>0</f>
        <v>0</v>
      </c>
      <c r="AF193" s="192"/>
      <c r="AG193" s="192"/>
      <c r="AH193" s="192"/>
      <c r="AI193" s="120"/>
      <c r="AJ193" s="96">
        <f t="shared" si="68"/>
        <v>0</v>
      </c>
      <c r="AK193" s="97">
        <f t="shared" si="69"/>
        <v>0</v>
      </c>
      <c r="AL193" s="22"/>
      <c r="AM193" s="192"/>
      <c r="AN193" s="192"/>
      <c r="AO193" s="192"/>
      <c r="AP193" s="192"/>
      <c r="AQ193" s="192"/>
      <c r="AR193" s="192"/>
      <c r="AS193" s="259"/>
      <c r="AT193" s="95"/>
      <c r="AU193" s="96">
        <f>SUM(AM193:AS193)</f>
        <v>0</v>
      </c>
      <c r="AV193" s="97">
        <f>IF(C193=2015, AU193/3,AU193)+AT193</f>
        <v>0</v>
      </c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spans="1:67" s="17" customFormat="1" x14ac:dyDescent="0.25">
      <c r="A194" s="71" t="s">
        <v>997</v>
      </c>
      <c r="B194" s="71" t="s">
        <v>86</v>
      </c>
      <c r="C194" s="72">
        <v>2014</v>
      </c>
      <c r="D194" s="1">
        <f t="shared" si="56"/>
        <v>6</v>
      </c>
      <c r="E194" s="283"/>
      <c r="F194" s="278"/>
      <c r="G194" s="120"/>
      <c r="H194" s="13"/>
      <c r="I194" s="261"/>
      <c r="J194" s="246"/>
      <c r="K194" s="241"/>
      <c r="L194" s="228"/>
      <c r="M194" s="215"/>
      <c r="N194" s="267">
        <f t="shared" si="57"/>
        <v>6</v>
      </c>
      <c r="O194" s="120"/>
      <c r="P194" s="96">
        <f t="shared" si="70"/>
        <v>6</v>
      </c>
      <c r="Q194" s="97">
        <f t="shared" si="59"/>
        <v>6</v>
      </c>
      <c r="R194" s="215"/>
      <c r="S194" s="201">
        <f>0+6</f>
        <v>6</v>
      </c>
      <c r="T194" s="201"/>
      <c r="U194" s="201"/>
      <c r="V194" s="201"/>
      <c r="W194" s="201"/>
      <c r="X194" s="201"/>
      <c r="Y194" s="215">
        <f t="shared" si="65"/>
        <v>0</v>
      </c>
      <c r="Z194" s="152"/>
      <c r="AA194" s="96">
        <f t="shared" si="66"/>
        <v>6</v>
      </c>
      <c r="AB194" s="97">
        <f t="shared" si="67"/>
        <v>6</v>
      </c>
      <c r="AC194" s="13"/>
      <c r="AD194" s="13"/>
      <c r="AE194" s="201"/>
      <c r="AF194" s="201"/>
      <c r="AG194" s="201"/>
      <c r="AH194" s="201"/>
      <c r="AI194" s="120"/>
      <c r="AJ194" s="96">
        <f t="shared" si="68"/>
        <v>0</v>
      </c>
      <c r="AK194" s="97">
        <f t="shared" si="69"/>
        <v>0</v>
      </c>
      <c r="AL194" s="22"/>
      <c r="AM194" s="201"/>
      <c r="AN194" s="201"/>
      <c r="AO194" s="201"/>
      <c r="AP194" s="201"/>
      <c r="AQ194" s="201"/>
      <c r="AR194" s="201"/>
      <c r="AS194" s="259"/>
      <c r="AT194" s="95"/>
      <c r="AU194" s="96"/>
      <c r="AV194" s="97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spans="1:67" x14ac:dyDescent="0.25">
      <c r="A195" s="45" t="s">
        <v>985</v>
      </c>
      <c r="B195" s="66" t="s">
        <v>86</v>
      </c>
      <c r="C195" s="46">
        <v>2017</v>
      </c>
      <c r="D195" s="1">
        <f t="shared" si="56"/>
        <v>32.666666666666664</v>
      </c>
      <c r="E195" s="108"/>
      <c r="F195" s="108"/>
      <c r="H195" s="101"/>
      <c r="I195" s="108"/>
      <c r="J195" s="108"/>
      <c r="K195" s="108"/>
      <c r="L195" s="108">
        <f>23+8</f>
        <v>31</v>
      </c>
      <c r="M195" s="108"/>
      <c r="N195" s="267">
        <f t="shared" si="57"/>
        <v>1.6666666666666667</v>
      </c>
      <c r="P195" s="96">
        <f t="shared" si="70"/>
        <v>32.666666666666664</v>
      </c>
      <c r="Q195" s="97">
        <f t="shared" si="59"/>
        <v>32.666666666666664</v>
      </c>
      <c r="R195" s="108"/>
      <c r="S195" s="108">
        <f>5</f>
        <v>5</v>
      </c>
      <c r="T195" s="108"/>
      <c r="U195" s="108"/>
      <c r="V195" s="108"/>
      <c r="W195" s="108"/>
      <c r="X195" s="108"/>
      <c r="Y195" s="215">
        <f t="shared" si="65"/>
        <v>0</v>
      </c>
      <c r="Z195" s="122"/>
      <c r="AA195" s="96">
        <f t="shared" si="66"/>
        <v>5</v>
      </c>
      <c r="AB195" s="97">
        <f t="shared" si="67"/>
        <v>1.6666666666666667</v>
      </c>
      <c r="AC195" s="101"/>
      <c r="AD195" s="108"/>
      <c r="AE195" s="108"/>
      <c r="AF195" s="108"/>
      <c r="AG195" s="108"/>
      <c r="AH195" s="108"/>
      <c r="AI195" s="122"/>
      <c r="AJ195" s="96">
        <f t="shared" si="68"/>
        <v>0</v>
      </c>
      <c r="AK195" s="97">
        <f t="shared" si="69"/>
        <v>0</v>
      </c>
      <c r="AL195" s="101"/>
      <c r="AM195" s="41"/>
      <c r="AN195" s="41"/>
      <c r="AO195" s="41"/>
      <c r="AP195" s="41"/>
      <c r="AQ195" s="41"/>
      <c r="AR195" s="41"/>
      <c r="AS195" s="286"/>
    </row>
    <row r="196" spans="1:67" x14ac:dyDescent="0.25">
      <c r="A196" s="71" t="s">
        <v>1021</v>
      </c>
      <c r="B196" s="71" t="s">
        <v>86</v>
      </c>
      <c r="C196" s="72">
        <v>2015</v>
      </c>
      <c r="D196" s="1">
        <f t="shared" si="56"/>
        <v>62</v>
      </c>
      <c r="L196" s="228">
        <f>8</f>
        <v>8</v>
      </c>
      <c r="N196" s="267">
        <f t="shared" si="57"/>
        <v>54</v>
      </c>
      <c r="P196" s="96">
        <f t="shared" si="70"/>
        <v>62</v>
      </c>
      <c r="Q196" s="97">
        <f t="shared" si="59"/>
        <v>62</v>
      </c>
      <c r="S196" s="201">
        <f>54</f>
        <v>54</v>
      </c>
      <c r="T196" s="201"/>
      <c r="U196" s="201"/>
      <c r="V196" s="201"/>
      <c r="W196" s="201"/>
      <c r="X196" s="201"/>
      <c r="Y196" s="215">
        <f t="shared" si="65"/>
        <v>0</v>
      </c>
      <c r="Z196" s="152"/>
      <c r="AA196" s="96">
        <f t="shared" si="66"/>
        <v>54</v>
      </c>
      <c r="AB196" s="97">
        <f t="shared" si="67"/>
        <v>54</v>
      </c>
      <c r="AE196" s="201"/>
      <c r="AF196" s="201"/>
      <c r="AG196" s="201"/>
      <c r="AH196" s="201"/>
      <c r="AI196" s="120"/>
      <c r="AJ196" s="96">
        <f t="shared" si="68"/>
        <v>0</v>
      </c>
      <c r="AK196" s="97">
        <f t="shared" si="69"/>
        <v>0</v>
      </c>
      <c r="AL196" s="22"/>
      <c r="AM196" s="261"/>
      <c r="AN196" s="261"/>
      <c r="AO196" s="261"/>
      <c r="AP196" s="261"/>
      <c r="AQ196" s="261"/>
      <c r="AR196" s="261"/>
      <c r="AS196" s="259"/>
      <c r="AT196" s="95"/>
      <c r="AU196" s="96"/>
      <c r="AV196" s="97"/>
    </row>
    <row r="197" spans="1:67" x14ac:dyDescent="0.25">
      <c r="A197" s="45" t="s">
        <v>767</v>
      </c>
      <c r="B197" s="66" t="s">
        <v>63</v>
      </c>
      <c r="C197" s="46">
        <v>2015</v>
      </c>
      <c r="D197" s="1">
        <f t="shared" si="56"/>
        <v>191</v>
      </c>
      <c r="E197" s="154">
        <f>16</f>
        <v>16</v>
      </c>
      <c r="F197" s="154"/>
      <c r="H197" s="280"/>
      <c r="I197" s="154">
        <f>40</f>
        <v>40</v>
      </c>
      <c r="J197" s="154">
        <f>18</f>
        <v>18</v>
      </c>
      <c r="K197" s="154">
        <f>41+4</f>
        <v>45</v>
      </c>
      <c r="L197" s="154"/>
      <c r="M197" s="154"/>
      <c r="N197" s="267">
        <f t="shared" si="57"/>
        <v>72</v>
      </c>
      <c r="P197" s="96">
        <f t="shared" si="70"/>
        <v>175</v>
      </c>
      <c r="Q197" s="97">
        <f t="shared" si="59"/>
        <v>175</v>
      </c>
      <c r="R197" s="154"/>
      <c r="S197" s="154">
        <f>21+2</f>
        <v>23</v>
      </c>
      <c r="T197" s="154">
        <f>9</f>
        <v>9</v>
      </c>
      <c r="U197" s="154">
        <f>6+4</f>
        <v>10</v>
      </c>
      <c r="V197" s="154">
        <f>0</f>
        <v>0</v>
      </c>
      <c r="W197" s="154">
        <f>13+1</f>
        <v>14</v>
      </c>
      <c r="X197" s="154">
        <f>16</f>
        <v>16</v>
      </c>
      <c r="Y197" s="215">
        <f t="shared" si="65"/>
        <v>0</v>
      </c>
      <c r="Z197" s="152"/>
      <c r="AA197" s="96">
        <f t="shared" si="66"/>
        <v>72</v>
      </c>
      <c r="AB197" s="97">
        <f t="shared" si="67"/>
        <v>72</v>
      </c>
      <c r="AC197" s="263"/>
      <c r="AD197" s="263"/>
      <c r="AE197" s="287"/>
      <c r="AF197" s="287"/>
      <c r="AG197" s="287"/>
      <c r="AH197" s="287"/>
      <c r="AI197" s="120"/>
      <c r="AJ197" s="96">
        <f t="shared" si="68"/>
        <v>0</v>
      </c>
      <c r="AK197" s="97">
        <f t="shared" si="69"/>
        <v>0</v>
      </c>
      <c r="AL197" s="101"/>
      <c r="AM197" s="151"/>
      <c r="AN197" s="151"/>
      <c r="AO197" s="151"/>
      <c r="AP197" s="151"/>
      <c r="AQ197" s="151"/>
      <c r="AR197" s="151"/>
      <c r="AS197" s="286"/>
      <c r="AT197" s="95"/>
      <c r="AU197" s="96"/>
      <c r="AV197" s="97"/>
    </row>
    <row r="198" spans="1:67" x14ac:dyDescent="0.25">
      <c r="A198" s="45" t="s">
        <v>1026</v>
      </c>
      <c r="B198" s="66" t="s">
        <v>86</v>
      </c>
      <c r="C198" s="46">
        <v>2014</v>
      </c>
      <c r="D198" s="1">
        <f t="shared" si="56"/>
        <v>33</v>
      </c>
      <c r="E198" s="154"/>
      <c r="F198" s="154"/>
      <c r="I198" s="154"/>
      <c r="J198" s="154"/>
      <c r="K198" s="154"/>
      <c r="L198" s="154"/>
      <c r="M198" s="154"/>
      <c r="N198" s="267">
        <f t="shared" si="57"/>
        <v>33</v>
      </c>
      <c r="P198" s="96">
        <f t="shared" si="70"/>
        <v>33</v>
      </c>
      <c r="Q198" s="97">
        <f t="shared" si="59"/>
        <v>33</v>
      </c>
      <c r="R198" s="154"/>
      <c r="S198" s="154">
        <f>33</f>
        <v>33</v>
      </c>
      <c r="T198" s="154"/>
      <c r="U198" s="154"/>
      <c r="V198" s="154"/>
      <c r="W198" s="154"/>
      <c r="X198" s="154"/>
      <c r="Y198" s="215">
        <f t="shared" si="65"/>
        <v>0</v>
      </c>
      <c r="Z198" s="152"/>
      <c r="AA198" s="96">
        <f t="shared" si="66"/>
        <v>33</v>
      </c>
      <c r="AB198" s="97">
        <f t="shared" si="67"/>
        <v>33</v>
      </c>
      <c r="AE198" s="201"/>
      <c r="AF198" s="201"/>
      <c r="AG198" s="201"/>
      <c r="AH198" s="201"/>
      <c r="AI198" s="120"/>
      <c r="AJ198" s="96">
        <f t="shared" si="68"/>
        <v>0</v>
      </c>
      <c r="AK198" s="97">
        <f t="shared" si="69"/>
        <v>0</v>
      </c>
      <c r="AL198" s="101"/>
      <c r="AM198" s="151"/>
      <c r="AN198" s="151"/>
      <c r="AO198" s="151"/>
      <c r="AP198" s="151"/>
      <c r="AQ198" s="151"/>
      <c r="AR198" s="151"/>
      <c r="AS198" s="286"/>
      <c r="AT198" s="95"/>
      <c r="AU198" s="96"/>
      <c r="AV198" s="97"/>
    </row>
    <row r="199" spans="1:67" x14ac:dyDescent="0.25">
      <c r="A199" s="45" t="s">
        <v>1114</v>
      </c>
      <c r="B199" s="66" t="s">
        <v>86</v>
      </c>
      <c r="C199" s="46">
        <v>2015</v>
      </c>
      <c r="D199" s="1">
        <f t="shared" si="56"/>
        <v>0</v>
      </c>
      <c r="E199" s="154"/>
      <c r="F199" s="154"/>
      <c r="I199" s="154"/>
      <c r="J199" s="154"/>
      <c r="K199" s="154"/>
      <c r="L199" s="154">
        <f>0</f>
        <v>0</v>
      </c>
      <c r="M199" s="154"/>
      <c r="N199" s="267">
        <f t="shared" si="57"/>
        <v>0</v>
      </c>
      <c r="P199" s="96">
        <f t="shared" si="70"/>
        <v>0</v>
      </c>
      <c r="Q199" s="97">
        <f t="shared" si="59"/>
        <v>0</v>
      </c>
      <c r="R199" s="154"/>
      <c r="S199" s="154"/>
      <c r="T199" s="154"/>
      <c r="U199" s="154"/>
      <c r="V199" s="154"/>
      <c r="W199" s="154"/>
      <c r="X199" s="154"/>
      <c r="Z199" s="152"/>
      <c r="AA199" s="96"/>
      <c r="AB199" s="97"/>
      <c r="AE199" s="287"/>
      <c r="AF199" s="287"/>
      <c r="AG199" s="287"/>
      <c r="AH199" s="287"/>
      <c r="AI199" s="120"/>
      <c r="AJ199" s="96"/>
      <c r="AK199" s="97"/>
      <c r="AL199" s="101"/>
      <c r="AM199" s="151"/>
      <c r="AN199" s="151"/>
      <c r="AO199" s="151"/>
      <c r="AP199" s="151"/>
      <c r="AQ199" s="151"/>
      <c r="AR199" s="151"/>
      <c r="AS199" s="286"/>
      <c r="AT199" s="95"/>
      <c r="AU199" s="96"/>
      <c r="AV199" s="97"/>
    </row>
    <row r="200" spans="1:67" x14ac:dyDescent="0.25">
      <c r="A200" s="45" t="s">
        <v>1108</v>
      </c>
      <c r="B200" s="66" t="s">
        <v>86</v>
      </c>
      <c r="C200" s="46">
        <v>2015</v>
      </c>
      <c r="D200" s="1">
        <f t="shared" si="56"/>
        <v>9</v>
      </c>
      <c r="E200" s="154"/>
      <c r="F200" s="154"/>
      <c r="I200" s="154"/>
      <c r="J200" s="154"/>
      <c r="K200" s="154"/>
      <c r="L200" s="154">
        <f>9</f>
        <v>9</v>
      </c>
      <c r="M200" s="154"/>
      <c r="N200" s="267">
        <f t="shared" si="57"/>
        <v>0</v>
      </c>
      <c r="P200" s="96">
        <f t="shared" si="70"/>
        <v>9</v>
      </c>
      <c r="Q200" s="97">
        <f t="shared" si="59"/>
        <v>9</v>
      </c>
      <c r="R200" s="154"/>
      <c r="S200" s="154"/>
      <c r="T200" s="154"/>
      <c r="U200" s="154"/>
      <c r="V200" s="154"/>
      <c r="W200" s="154"/>
      <c r="X200" s="154"/>
      <c r="Y200" s="228"/>
      <c r="Z200" s="152"/>
      <c r="AA200" s="96"/>
      <c r="AB200" s="97"/>
      <c r="AE200" s="287"/>
      <c r="AF200" s="287"/>
      <c r="AG200" s="287"/>
      <c r="AH200" s="287"/>
      <c r="AI200" s="120"/>
      <c r="AJ200" s="96"/>
      <c r="AK200" s="97"/>
      <c r="AL200" s="101"/>
      <c r="AM200" s="151"/>
      <c r="AN200" s="151"/>
      <c r="AO200" s="151"/>
      <c r="AP200" s="151"/>
      <c r="AQ200" s="151"/>
      <c r="AR200" s="151"/>
      <c r="AS200" s="286"/>
      <c r="AT200" s="95"/>
      <c r="AU200" s="96"/>
      <c r="AV200" s="97"/>
    </row>
    <row r="201" spans="1:67" x14ac:dyDescent="0.25">
      <c r="A201" s="11" t="s">
        <v>624</v>
      </c>
      <c r="B201" s="60" t="s">
        <v>598</v>
      </c>
      <c r="C201" s="62"/>
      <c r="D201" s="1">
        <f t="shared" si="56"/>
        <v>21</v>
      </c>
      <c r="H201" s="280"/>
      <c r="N201" s="267">
        <f t="shared" si="57"/>
        <v>21</v>
      </c>
      <c r="P201" s="96">
        <f t="shared" si="70"/>
        <v>21</v>
      </c>
      <c r="Q201" s="97">
        <f t="shared" si="59"/>
        <v>21</v>
      </c>
      <c r="T201" s="201"/>
      <c r="U201" s="201"/>
      <c r="V201" s="201"/>
      <c r="W201" s="201"/>
      <c r="X201" s="201"/>
      <c r="Y201" s="215">
        <f>AK201</f>
        <v>21</v>
      </c>
      <c r="Z201" s="152"/>
      <c r="AA201" s="96">
        <f>AM201+S201+T201+U201+V201+W201+X201+Y201</f>
        <v>21</v>
      </c>
      <c r="AB201" s="97">
        <f>IF(C201=2017, AA201/3,AA201)+Z201</f>
        <v>21</v>
      </c>
      <c r="AC201" s="263"/>
      <c r="AD201" s="263"/>
      <c r="AE201" s="201"/>
      <c r="AF201" s="201">
        <f>21</f>
        <v>21</v>
      </c>
      <c r="AG201" s="201"/>
      <c r="AH201" s="201"/>
      <c r="AI201" s="120"/>
      <c r="AJ201" s="96">
        <f>SUM(AE201:AH201)</f>
        <v>21</v>
      </c>
      <c r="AK201" s="97">
        <f>IF(C201=2016, AJ201/3,AJ201)+AI201</f>
        <v>21</v>
      </c>
      <c r="AL201" s="22"/>
      <c r="AM201" s="151"/>
      <c r="AN201" s="151"/>
      <c r="AO201" s="151"/>
      <c r="AP201" s="151"/>
      <c r="AQ201" s="151"/>
      <c r="AR201" s="151"/>
      <c r="AS201" s="13"/>
      <c r="AT201" s="95"/>
      <c r="AU201" s="96">
        <f>SUM(AM201:AS201)</f>
        <v>0</v>
      </c>
      <c r="AV201" s="97">
        <f>IF(C201=2015, AU201/3,AU201)+AT201</f>
        <v>0</v>
      </c>
    </row>
    <row r="202" spans="1:67" x14ac:dyDescent="0.25">
      <c r="A202" s="71" t="s">
        <v>246</v>
      </c>
      <c r="B202" s="71" t="s">
        <v>231</v>
      </c>
      <c r="C202" s="72">
        <v>2014</v>
      </c>
      <c r="D202" s="1">
        <f t="shared" si="56"/>
        <v>18</v>
      </c>
      <c r="H202" s="290"/>
      <c r="N202" s="267">
        <f t="shared" si="57"/>
        <v>18</v>
      </c>
      <c r="P202" s="96">
        <f t="shared" si="70"/>
        <v>18</v>
      </c>
      <c r="Q202" s="97">
        <f t="shared" si="59"/>
        <v>18</v>
      </c>
      <c r="Y202" s="215">
        <f>AK202</f>
        <v>18</v>
      </c>
      <c r="Z202" s="120"/>
      <c r="AA202" s="96">
        <f>AM202+S202+T202+U202+V202+W202+X202+Y202</f>
        <v>18</v>
      </c>
      <c r="AB202" s="97">
        <f>IF(C202=2017, AA202/3,AA202)+Z202</f>
        <v>18</v>
      </c>
      <c r="AC202" s="290"/>
      <c r="AD202" s="290"/>
      <c r="AH202" s="50">
        <f>AV202</f>
        <v>18</v>
      </c>
      <c r="AI202" s="120"/>
      <c r="AJ202" s="96">
        <f>SUM(AE202:AH202)</f>
        <v>18</v>
      </c>
      <c r="AK202" s="97">
        <f>IF(C202=2016, AJ202/3,AJ202)+AI202</f>
        <v>18</v>
      </c>
      <c r="AL202" s="22"/>
      <c r="AM202" s="241"/>
      <c r="AN202" s="241"/>
      <c r="AO202" s="241">
        <f>18</f>
        <v>18</v>
      </c>
      <c r="AP202" s="241"/>
      <c r="AQ202" s="241"/>
      <c r="AR202" s="241"/>
      <c r="AS202" s="240"/>
      <c r="AT202" s="95"/>
      <c r="AU202" s="96">
        <f>SUM(AM202:AS202)</f>
        <v>18</v>
      </c>
      <c r="AV202" s="97">
        <f>IF(C202=2015, AU202/3,AU202)+AT202</f>
        <v>18</v>
      </c>
    </row>
    <row r="203" spans="1:67" x14ac:dyDescent="0.25">
      <c r="A203" s="71" t="s">
        <v>611</v>
      </c>
      <c r="B203" s="71" t="s">
        <v>476</v>
      </c>
      <c r="C203" s="72"/>
      <c r="D203" s="1">
        <f t="shared" si="56"/>
        <v>13</v>
      </c>
      <c r="H203" s="290"/>
      <c r="M203" s="228"/>
      <c r="N203" s="267">
        <f t="shared" si="57"/>
        <v>13</v>
      </c>
      <c r="P203" s="96">
        <f t="shared" si="70"/>
        <v>13</v>
      </c>
      <c r="Q203" s="97">
        <f t="shared" si="59"/>
        <v>13</v>
      </c>
      <c r="R203" s="228"/>
      <c r="S203" s="228"/>
      <c r="T203" s="228"/>
      <c r="U203" s="228"/>
      <c r="V203" s="228"/>
      <c r="W203" s="228"/>
      <c r="X203" s="228"/>
      <c r="Y203" s="215">
        <f>AK203</f>
        <v>13</v>
      </c>
      <c r="Z203" s="152"/>
      <c r="AA203" s="96">
        <f>AM203+S203+T203+U203+V203+W203+X203+Y203</f>
        <v>13</v>
      </c>
      <c r="AB203" s="97">
        <f>IF(C203=2017, AA203/3,AA203)+Z203</f>
        <v>13</v>
      </c>
      <c r="AC203" s="290"/>
      <c r="AD203" s="290"/>
      <c r="AE203" s="228"/>
      <c r="AF203" s="228">
        <f>13</f>
        <v>13</v>
      </c>
      <c r="AG203" s="228"/>
      <c r="AH203" s="228"/>
      <c r="AI203" s="235"/>
      <c r="AJ203" s="96">
        <f>SUM(AE203:AH203)</f>
        <v>13</v>
      </c>
      <c r="AK203" s="97">
        <f>IF(C203=2016, AJ203/3,AJ203)+AI203</f>
        <v>13</v>
      </c>
      <c r="AL203" s="22"/>
      <c r="AM203" s="241"/>
      <c r="AN203" s="241"/>
      <c r="AO203" s="241"/>
      <c r="AP203" s="241"/>
      <c r="AQ203" s="241"/>
      <c r="AR203" s="241"/>
      <c r="AS203" s="224"/>
      <c r="AT203" s="95"/>
      <c r="AU203" s="96">
        <f>SUM(AM203:AS203)</f>
        <v>0</v>
      </c>
      <c r="AV203" s="97">
        <f>IF(C203=2015, AU203/3,AU203)+AT203</f>
        <v>0</v>
      </c>
    </row>
    <row r="204" spans="1:67" x14ac:dyDescent="0.25">
      <c r="A204" s="71" t="s">
        <v>622</v>
      </c>
      <c r="B204" s="71" t="s">
        <v>598</v>
      </c>
      <c r="C204" s="72"/>
      <c r="D204" s="1">
        <f t="shared" si="56"/>
        <v>48</v>
      </c>
      <c r="H204" s="290"/>
      <c r="M204" s="228"/>
      <c r="N204" s="267">
        <f t="shared" si="57"/>
        <v>48</v>
      </c>
      <c r="P204" s="96">
        <f t="shared" si="70"/>
        <v>48</v>
      </c>
      <c r="Q204" s="97">
        <f t="shared" si="59"/>
        <v>48</v>
      </c>
      <c r="R204" s="228"/>
      <c r="S204" s="228"/>
      <c r="T204" s="228"/>
      <c r="U204" s="228"/>
      <c r="V204" s="228"/>
      <c r="W204" s="228"/>
      <c r="X204" s="228"/>
      <c r="Y204" s="215">
        <f>AK204</f>
        <v>48</v>
      </c>
      <c r="Z204" s="152"/>
      <c r="AA204" s="96">
        <f>AM204+S204+T204+U204+V204+W204+X204+Y204</f>
        <v>48</v>
      </c>
      <c r="AB204" s="97">
        <f>IF(C204=2017, AA204/3,AA204)+Z204</f>
        <v>48</v>
      </c>
      <c r="AC204" s="290"/>
      <c r="AD204" s="290"/>
      <c r="AE204" s="228"/>
      <c r="AF204" s="228">
        <f>48</f>
        <v>48</v>
      </c>
      <c r="AG204" s="228"/>
      <c r="AH204" s="228"/>
      <c r="AI204" s="120"/>
      <c r="AJ204" s="96">
        <f>SUM(AE204:AH204)</f>
        <v>48</v>
      </c>
      <c r="AK204" s="97">
        <f>IF(C204=2016, AJ204/3,AJ204)+AI204</f>
        <v>48</v>
      </c>
      <c r="AL204" s="22"/>
      <c r="AM204" s="261"/>
      <c r="AN204" s="261"/>
      <c r="AO204" s="261"/>
      <c r="AP204" s="261"/>
      <c r="AQ204" s="261"/>
      <c r="AR204" s="261"/>
      <c r="AS204" s="259"/>
      <c r="AT204" s="95"/>
      <c r="AU204" s="96">
        <f>SUM(AM204:AS204)</f>
        <v>0</v>
      </c>
      <c r="AV204" s="97">
        <f>IF(C204=2015, AU204/3,AU204)+AT204</f>
        <v>0</v>
      </c>
    </row>
    <row r="205" spans="1:67" x14ac:dyDescent="0.25">
      <c r="A205" s="11" t="s">
        <v>1102</v>
      </c>
      <c r="B205" s="60" t="s">
        <v>86</v>
      </c>
      <c r="C205" s="62">
        <v>2016</v>
      </c>
      <c r="D205" s="1">
        <f t="shared" si="56"/>
        <v>25</v>
      </c>
      <c r="L205" s="228">
        <f>15+10</f>
        <v>25</v>
      </c>
      <c r="M205" s="228"/>
      <c r="N205" s="267">
        <f t="shared" si="57"/>
        <v>0</v>
      </c>
      <c r="P205" s="96">
        <f t="shared" si="70"/>
        <v>25</v>
      </c>
      <c r="Q205" s="97">
        <f t="shared" si="59"/>
        <v>25</v>
      </c>
      <c r="R205" s="228"/>
      <c r="S205" s="228"/>
      <c r="T205" s="228"/>
      <c r="U205" s="228"/>
      <c r="V205" s="228"/>
      <c r="W205" s="228"/>
      <c r="X205" s="228"/>
      <c r="Y205" s="228"/>
      <c r="Z205" s="152"/>
      <c r="AA205" s="96"/>
      <c r="AB205" s="97"/>
      <c r="AE205" s="228"/>
      <c r="AF205" s="228"/>
      <c r="AG205" s="228"/>
      <c r="AH205" s="228"/>
      <c r="AI205" s="120"/>
      <c r="AJ205" s="96"/>
      <c r="AK205" s="97"/>
      <c r="AL205" s="22"/>
      <c r="AM205" s="151"/>
      <c r="AN205" s="151"/>
      <c r="AO205" s="151"/>
      <c r="AP205" s="151"/>
      <c r="AQ205" s="151"/>
      <c r="AR205" s="151"/>
      <c r="AS205" s="13"/>
      <c r="AT205" s="95"/>
      <c r="AU205" s="96"/>
      <c r="AV205" s="97"/>
    </row>
    <row r="206" spans="1:67" x14ac:dyDescent="0.25">
      <c r="A206" s="11" t="s">
        <v>1131</v>
      </c>
      <c r="B206" s="60" t="s">
        <v>476</v>
      </c>
      <c r="C206" s="62">
        <v>2014</v>
      </c>
      <c r="D206" s="1">
        <f t="shared" si="56"/>
        <v>0</v>
      </c>
      <c r="E206" s="287"/>
      <c r="F206" s="287"/>
      <c r="I206" s="287"/>
      <c r="J206" s="287"/>
      <c r="K206" s="287"/>
      <c r="L206" s="287">
        <f>0</f>
        <v>0</v>
      </c>
      <c r="M206" s="287"/>
      <c r="N206" s="267">
        <f t="shared" si="57"/>
        <v>0</v>
      </c>
      <c r="P206" s="96">
        <f t="shared" si="70"/>
        <v>0</v>
      </c>
      <c r="Q206" s="97">
        <f t="shared" si="59"/>
        <v>0</v>
      </c>
      <c r="R206" s="287"/>
      <c r="S206" s="287"/>
      <c r="T206" s="287"/>
      <c r="U206" s="287"/>
      <c r="V206" s="287"/>
      <c r="W206" s="287"/>
      <c r="X206" s="287"/>
      <c r="Y206" s="228"/>
      <c r="Z206" s="152"/>
      <c r="AA206" s="96"/>
      <c r="AB206" s="97"/>
      <c r="AE206" s="287"/>
      <c r="AF206" s="287"/>
      <c r="AG206" s="287"/>
      <c r="AH206" s="287"/>
      <c r="AI206" s="120"/>
      <c r="AJ206" s="96"/>
      <c r="AK206" s="97"/>
      <c r="AL206" s="22"/>
      <c r="AM206" s="151"/>
      <c r="AN206" s="151"/>
      <c r="AO206" s="151"/>
      <c r="AP206" s="151"/>
      <c r="AQ206" s="151"/>
      <c r="AR206" s="151"/>
      <c r="AS206" s="13"/>
      <c r="AT206" s="95"/>
      <c r="AU206" s="96"/>
      <c r="AV206" s="97"/>
    </row>
    <row r="207" spans="1:67" x14ac:dyDescent="0.25">
      <c r="A207" s="11" t="s">
        <v>306</v>
      </c>
      <c r="B207" s="60" t="s">
        <v>0</v>
      </c>
      <c r="C207" s="62">
        <v>2014</v>
      </c>
      <c r="D207" s="1">
        <f t="shared" si="56"/>
        <v>172</v>
      </c>
      <c r="H207" s="280"/>
      <c r="L207" s="241"/>
      <c r="M207" s="241"/>
      <c r="N207" s="267">
        <f t="shared" si="57"/>
        <v>172</v>
      </c>
      <c r="P207" s="96">
        <f t="shared" si="70"/>
        <v>172</v>
      </c>
      <c r="Q207" s="97">
        <f t="shared" si="59"/>
        <v>172</v>
      </c>
      <c r="R207" s="241"/>
      <c r="S207" s="241"/>
      <c r="T207" s="241"/>
      <c r="U207" s="241"/>
      <c r="V207" s="241"/>
      <c r="W207" s="241"/>
      <c r="X207" s="241"/>
      <c r="Y207" s="228">
        <f>AK207</f>
        <v>172</v>
      </c>
      <c r="Z207" s="120"/>
      <c r="AA207" s="96">
        <f>AM207+S207+T207+U207+V207+W207+X207+Y207</f>
        <v>172</v>
      </c>
      <c r="AB207" s="97">
        <f>IF(C207=2017, AA207/3,AA207)+Z207</f>
        <v>172</v>
      </c>
      <c r="AC207" s="263"/>
      <c r="AD207" s="263"/>
      <c r="AE207" s="241"/>
      <c r="AF207" s="241">
        <f>13</f>
        <v>13</v>
      </c>
      <c r="AG207" s="241">
        <f>18</f>
        <v>18</v>
      </c>
      <c r="AH207" s="241">
        <f>AV207</f>
        <v>141</v>
      </c>
      <c r="AI207" s="120"/>
      <c r="AJ207" s="96">
        <f>SUM(AE207:AH207)</f>
        <v>172</v>
      </c>
      <c r="AK207" s="97">
        <f>IF(C207=2016, AJ207/3,AJ207)+AI207</f>
        <v>172</v>
      </c>
      <c r="AL207" s="22"/>
      <c r="AM207" s="261"/>
      <c r="AN207" s="261"/>
      <c r="AO207" s="261"/>
      <c r="AP207" s="261">
        <f>28+7</f>
        <v>35</v>
      </c>
      <c r="AQ207" s="261">
        <f>43+30</f>
        <v>73</v>
      </c>
      <c r="AR207" s="261">
        <f>28+2+3</f>
        <v>33</v>
      </c>
      <c r="AS207" s="259"/>
      <c r="AT207" s="95"/>
      <c r="AU207" s="96">
        <f>SUM(AM207:AS207)</f>
        <v>141</v>
      </c>
      <c r="AV207" s="97">
        <f>IF(C207=2015, AU207/3,AU207)+AT207</f>
        <v>141</v>
      </c>
    </row>
    <row r="208" spans="1:67" x14ac:dyDescent="0.25">
      <c r="A208" s="71" t="s">
        <v>1113</v>
      </c>
      <c r="B208" s="71" t="s">
        <v>86</v>
      </c>
      <c r="C208" s="72">
        <v>2014</v>
      </c>
      <c r="D208" s="1">
        <f t="shared" si="56"/>
        <v>0</v>
      </c>
      <c r="L208" s="241">
        <f>0</f>
        <v>0</v>
      </c>
      <c r="M208" s="241"/>
      <c r="N208" s="267">
        <f t="shared" si="57"/>
        <v>0</v>
      </c>
      <c r="P208" s="96">
        <f t="shared" si="70"/>
        <v>0</v>
      </c>
      <c r="Q208" s="97">
        <f t="shared" si="59"/>
        <v>0</v>
      </c>
      <c r="R208" s="241"/>
      <c r="S208" s="241"/>
      <c r="T208" s="241"/>
      <c r="U208" s="241"/>
      <c r="V208" s="241"/>
      <c r="W208" s="241"/>
      <c r="X208" s="241"/>
      <c r="Y208" s="228"/>
      <c r="Z208" s="152"/>
      <c r="AA208" s="96"/>
      <c r="AB208" s="97"/>
      <c r="AE208" s="241"/>
      <c r="AF208" s="241"/>
      <c r="AG208" s="241"/>
      <c r="AH208" s="241"/>
      <c r="AI208" s="120"/>
      <c r="AJ208" s="96"/>
      <c r="AK208" s="97"/>
      <c r="AL208" s="22"/>
      <c r="AM208" s="241"/>
      <c r="AN208" s="241"/>
      <c r="AO208" s="241"/>
      <c r="AP208" s="241"/>
      <c r="AQ208" s="241"/>
      <c r="AR208" s="241"/>
      <c r="AS208" s="240"/>
      <c r="AT208" s="95"/>
      <c r="AU208" s="96"/>
      <c r="AV208" s="97"/>
    </row>
    <row r="209" spans="1:67" x14ac:dyDescent="0.25">
      <c r="A209" s="11" t="s">
        <v>1218</v>
      </c>
      <c r="B209" s="60" t="s">
        <v>834</v>
      </c>
      <c r="C209" s="3">
        <v>2014</v>
      </c>
      <c r="D209" s="1">
        <f t="shared" si="56"/>
        <v>13</v>
      </c>
      <c r="E209" s="283">
        <f>0</f>
        <v>0</v>
      </c>
      <c r="I209" s="261">
        <v>13</v>
      </c>
      <c r="K209" s="241">
        <f>0</f>
        <v>0</v>
      </c>
      <c r="L209" s="241"/>
      <c r="M209" s="241"/>
      <c r="N209" s="267">
        <f t="shared" si="57"/>
        <v>0</v>
      </c>
      <c r="P209" s="96">
        <f t="shared" si="70"/>
        <v>13</v>
      </c>
      <c r="Q209" s="97">
        <f t="shared" si="59"/>
        <v>13</v>
      </c>
      <c r="R209" s="241"/>
      <c r="S209" s="241"/>
      <c r="T209" s="241"/>
      <c r="U209" s="241"/>
      <c r="V209" s="241"/>
      <c r="W209" s="241"/>
      <c r="X209" s="241"/>
      <c r="Z209" s="287"/>
      <c r="AE209" s="201"/>
      <c r="AF209" s="201"/>
      <c r="AG209" s="201"/>
      <c r="AH209" s="201"/>
      <c r="AI209" s="287"/>
      <c r="AL209" s="285"/>
      <c r="AM209" s="287"/>
      <c r="AN209" s="287"/>
      <c r="AO209" s="287"/>
      <c r="AP209" s="287"/>
      <c r="AQ209" s="287"/>
      <c r="AR209" s="287"/>
      <c r="AS209" s="285"/>
    </row>
    <row r="210" spans="1:67" x14ac:dyDescent="0.25">
      <c r="A210" s="71" t="s">
        <v>1007</v>
      </c>
      <c r="B210" s="71" t="s">
        <v>63</v>
      </c>
      <c r="C210" s="72">
        <v>2014</v>
      </c>
      <c r="D210" s="1">
        <f t="shared" si="56"/>
        <v>9</v>
      </c>
      <c r="J210" s="261"/>
      <c r="K210" s="261">
        <f>9</f>
        <v>9</v>
      </c>
      <c r="L210" s="261"/>
      <c r="M210" s="261"/>
      <c r="N210" s="267">
        <f t="shared" si="57"/>
        <v>0</v>
      </c>
      <c r="P210" s="96">
        <f>I210+J210+K210+L210+N210</f>
        <v>9</v>
      </c>
      <c r="Q210" s="97">
        <f t="shared" si="59"/>
        <v>9</v>
      </c>
      <c r="R210" s="261"/>
      <c r="S210" s="261">
        <f>0</f>
        <v>0</v>
      </c>
      <c r="T210" s="261"/>
      <c r="U210" s="261"/>
      <c r="V210" s="261"/>
      <c r="W210" s="261"/>
      <c r="X210" s="261"/>
      <c r="Y210" s="228">
        <f>AK210</f>
        <v>0</v>
      </c>
      <c r="Z210" s="152"/>
      <c r="AA210" s="96">
        <f>AM210+S210+T210+U210+V210+W210+X210+Y210</f>
        <v>0</v>
      </c>
      <c r="AB210" s="97">
        <f>IF(C210=2017, AA210/3,AA210)+Z210</f>
        <v>0</v>
      </c>
      <c r="AE210" s="228"/>
      <c r="AF210" s="228"/>
      <c r="AG210" s="228"/>
      <c r="AH210" s="228"/>
      <c r="AI210" s="120"/>
      <c r="AJ210" s="96">
        <f>SUM(AE210:AH210)</f>
        <v>0</v>
      </c>
      <c r="AK210" s="97">
        <f>IF(C210=2016, AJ210/3,AJ210)+AI210</f>
        <v>0</v>
      </c>
      <c r="AL210" s="22"/>
      <c r="AM210" s="261"/>
      <c r="AN210" s="261"/>
      <c r="AO210" s="261"/>
      <c r="AP210" s="261"/>
      <c r="AQ210" s="261"/>
      <c r="AR210" s="261"/>
      <c r="AS210" s="259"/>
      <c r="AT210" s="95"/>
      <c r="AU210" s="96"/>
      <c r="AV210" s="97"/>
    </row>
    <row r="211" spans="1:67" x14ac:dyDescent="0.25">
      <c r="A211" s="45" t="s">
        <v>446</v>
      </c>
      <c r="B211" s="66" t="s">
        <v>63</v>
      </c>
      <c r="C211" s="46">
        <v>2017</v>
      </c>
      <c r="D211" s="1">
        <f t="shared" si="56"/>
        <v>6.666666666666667</v>
      </c>
      <c r="E211" s="108">
        <f>0</f>
        <v>0</v>
      </c>
      <c r="F211" s="108">
        <f>0</f>
        <v>0</v>
      </c>
      <c r="H211" s="101"/>
      <c r="I211" s="108"/>
      <c r="J211" s="108"/>
      <c r="K211" s="108"/>
      <c r="L211" s="108"/>
      <c r="M211" s="108"/>
      <c r="N211" s="267">
        <f t="shared" si="57"/>
        <v>6.666666666666667</v>
      </c>
      <c r="P211" s="96">
        <f t="shared" ref="P211:P242" si="71">I211+J211+K211+L211+M211+N211</f>
        <v>6.666666666666667</v>
      </c>
      <c r="Q211" s="97">
        <f t="shared" si="59"/>
        <v>6.666666666666667</v>
      </c>
      <c r="R211" s="108"/>
      <c r="S211" s="108"/>
      <c r="T211" s="108">
        <f>0</f>
        <v>0</v>
      </c>
      <c r="U211" s="108">
        <f>0</f>
        <v>0</v>
      </c>
      <c r="V211" s="108">
        <f>0+3</f>
        <v>3</v>
      </c>
      <c r="W211" s="108">
        <f>9</f>
        <v>9</v>
      </c>
      <c r="X211" s="108">
        <v>3</v>
      </c>
      <c r="Y211" s="215">
        <f>AK211</f>
        <v>5</v>
      </c>
      <c r="Z211" s="122"/>
      <c r="AA211" s="96">
        <f>AM211+S211+T211+U211+V211+W211+X211+Y211</f>
        <v>20</v>
      </c>
      <c r="AB211" s="97">
        <f>IF(C211=2017, AA211/3,AA211)+Z211</f>
        <v>6.666666666666667</v>
      </c>
      <c r="AC211" s="101"/>
      <c r="AD211" s="108">
        <f>0</f>
        <v>0</v>
      </c>
      <c r="AE211" s="108"/>
      <c r="AF211" s="108"/>
      <c r="AG211" s="108"/>
      <c r="AH211" s="108">
        <f>AV211</f>
        <v>5</v>
      </c>
      <c r="AI211" s="122"/>
      <c r="AJ211" s="96">
        <f>SUM(AE211:AH211)</f>
        <v>5</v>
      </c>
      <c r="AK211" s="97">
        <f>IF(C211=2016, AJ211/3,AJ211)+AI211</f>
        <v>5</v>
      </c>
      <c r="AL211" s="101"/>
      <c r="AM211" s="41"/>
      <c r="AN211" s="41"/>
      <c r="AO211" s="41"/>
      <c r="AP211" s="41"/>
      <c r="AQ211" s="41">
        <f>5</f>
        <v>5</v>
      </c>
      <c r="AR211" s="41"/>
      <c r="AS211" s="13"/>
      <c r="AU211" s="3">
        <f>SUM(AM211:AT211)</f>
        <v>5</v>
      </c>
      <c r="AV211" s="3">
        <f>AU211</f>
        <v>5</v>
      </c>
    </row>
    <row r="212" spans="1:67" x14ac:dyDescent="0.25">
      <c r="A212" s="11" t="s">
        <v>604</v>
      </c>
      <c r="B212" s="60" t="s">
        <v>476</v>
      </c>
      <c r="C212" s="62"/>
      <c r="D212" s="1">
        <f t="shared" si="56"/>
        <v>34</v>
      </c>
      <c r="H212" s="290"/>
      <c r="M212" s="228"/>
      <c r="N212" s="267">
        <f t="shared" si="57"/>
        <v>34</v>
      </c>
      <c r="P212" s="96">
        <f t="shared" si="71"/>
        <v>34</v>
      </c>
      <c r="Q212" s="97">
        <f t="shared" si="59"/>
        <v>34</v>
      </c>
      <c r="R212" s="228"/>
      <c r="S212" s="228"/>
      <c r="T212" s="228"/>
      <c r="U212" s="228"/>
      <c r="V212" s="228"/>
      <c r="W212" s="228"/>
      <c r="X212" s="228"/>
      <c r="Y212" s="228">
        <f>AK212</f>
        <v>34</v>
      </c>
      <c r="Z212" s="152"/>
      <c r="AA212" s="96">
        <f>AM212+S212+T212+U212+V212+W212+X212+Y212</f>
        <v>34</v>
      </c>
      <c r="AB212" s="97">
        <f>IF(C212=2017, AA212/3,AA212)+Z212</f>
        <v>34</v>
      </c>
      <c r="AC212" s="290"/>
      <c r="AD212" s="290"/>
      <c r="AE212" s="228"/>
      <c r="AF212" s="228">
        <f>34</f>
        <v>34</v>
      </c>
      <c r="AG212" s="228"/>
      <c r="AH212" s="228"/>
      <c r="AI212" s="120"/>
      <c r="AJ212" s="96">
        <f>SUM(AE212:AH212)</f>
        <v>34</v>
      </c>
      <c r="AK212" s="97">
        <f>IF(C212=2016, AJ212/3,AJ212)+AI212</f>
        <v>34</v>
      </c>
      <c r="AL212" s="22"/>
      <c r="AM212" s="151"/>
      <c r="AN212" s="151"/>
      <c r="AO212" s="151"/>
      <c r="AP212" s="151"/>
      <c r="AQ212" s="151"/>
      <c r="AR212" s="151"/>
      <c r="AS212" s="13"/>
      <c r="AT212" s="95"/>
      <c r="AU212" s="96">
        <f>SUM(AM212:AS212)</f>
        <v>0</v>
      </c>
      <c r="AV212" s="97">
        <f>IF(C212=2015, AU212/3,AU212)+AT212</f>
        <v>0</v>
      </c>
    </row>
    <row r="213" spans="1:67" x14ac:dyDescent="0.25">
      <c r="A213" s="11" t="s">
        <v>614</v>
      </c>
      <c r="B213" s="60" t="s">
        <v>476</v>
      </c>
      <c r="C213" s="62"/>
      <c r="D213" s="1">
        <f t="shared" si="56"/>
        <v>7</v>
      </c>
      <c r="E213" s="287"/>
      <c r="F213" s="287"/>
      <c r="H213" s="290"/>
      <c r="I213" s="287"/>
      <c r="J213" s="287"/>
      <c r="K213" s="287"/>
      <c r="L213" s="287"/>
      <c r="M213" s="287"/>
      <c r="N213" s="267">
        <f t="shared" si="57"/>
        <v>7</v>
      </c>
      <c r="P213" s="96">
        <f t="shared" si="71"/>
        <v>7</v>
      </c>
      <c r="Q213" s="97">
        <f t="shared" si="59"/>
        <v>7</v>
      </c>
      <c r="R213" s="287"/>
      <c r="S213" s="287"/>
      <c r="T213" s="287"/>
      <c r="U213" s="287"/>
      <c r="V213" s="287"/>
      <c r="W213" s="287"/>
      <c r="X213" s="287"/>
      <c r="Y213" s="215">
        <f>AK213</f>
        <v>7</v>
      </c>
      <c r="Z213" s="152"/>
      <c r="AA213" s="96">
        <f>AM213+S213+T213+U213+V213+W213+X213+Y213</f>
        <v>7</v>
      </c>
      <c r="AB213" s="97">
        <f>IF(C213=2017, AA213/3,AA213)+Z213</f>
        <v>7</v>
      </c>
      <c r="AC213" s="290"/>
      <c r="AD213" s="290"/>
      <c r="AE213" s="287"/>
      <c r="AF213" s="287">
        <f>6+1</f>
        <v>7</v>
      </c>
      <c r="AG213" s="287"/>
      <c r="AH213" s="287"/>
      <c r="AI213" s="120"/>
      <c r="AJ213" s="96">
        <f>SUM(AE213:AH213)</f>
        <v>7</v>
      </c>
      <c r="AK213" s="97">
        <f>IF(C213=2016, AJ213/3,AJ213)+AI213</f>
        <v>7</v>
      </c>
      <c r="AL213" s="22"/>
      <c r="AM213" s="151"/>
      <c r="AN213" s="151"/>
      <c r="AO213" s="151"/>
      <c r="AP213" s="151"/>
      <c r="AQ213" s="151"/>
      <c r="AR213" s="151"/>
      <c r="AS213" s="13"/>
      <c r="AT213" s="95"/>
      <c r="AU213" s="96">
        <f>SUM(AM213:AS213)</f>
        <v>0</v>
      </c>
      <c r="AV213" s="97">
        <f>IF(C213=2015, AU213/3,AU213)+AT213</f>
        <v>0</v>
      </c>
    </row>
    <row r="214" spans="1:67" x14ac:dyDescent="0.25">
      <c r="A214" s="45" t="s">
        <v>825</v>
      </c>
      <c r="B214" s="66" t="s">
        <v>0</v>
      </c>
      <c r="C214" s="46">
        <v>2017</v>
      </c>
      <c r="D214" s="1">
        <f t="shared" si="56"/>
        <v>31.333333333333332</v>
      </c>
      <c r="E214" s="108"/>
      <c r="F214" s="108"/>
      <c r="H214" s="101"/>
      <c r="I214" s="108"/>
      <c r="J214" s="108"/>
      <c r="K214" s="108">
        <f>27</f>
        <v>27</v>
      </c>
      <c r="L214" s="108"/>
      <c r="M214" s="108"/>
      <c r="N214" s="267">
        <f t="shared" si="57"/>
        <v>4.333333333333333</v>
      </c>
      <c r="P214" s="96">
        <f t="shared" si="71"/>
        <v>31.333333333333332</v>
      </c>
      <c r="Q214" s="97">
        <f t="shared" si="59"/>
        <v>31.333333333333332</v>
      </c>
      <c r="R214" s="108"/>
      <c r="S214" s="108">
        <f>7</f>
        <v>7</v>
      </c>
      <c r="T214" s="108">
        <f>4</f>
        <v>4</v>
      </c>
      <c r="U214" s="108"/>
      <c r="V214" s="108"/>
      <c r="W214" s="108">
        <f>2</f>
        <v>2</v>
      </c>
      <c r="X214" s="108"/>
      <c r="Y214" s="215">
        <f>AK214</f>
        <v>0</v>
      </c>
      <c r="Z214" s="122"/>
      <c r="AA214" s="96">
        <f>AM214+S214+T214+U214+V214+W214+X214+Y214</f>
        <v>13</v>
      </c>
      <c r="AB214" s="97">
        <f>IF(C214=2017, AA214/3,AA214)+Z214</f>
        <v>4.333333333333333</v>
      </c>
      <c r="AC214" s="101"/>
      <c r="AD214" s="108"/>
      <c r="AE214" s="108"/>
      <c r="AF214" s="108"/>
      <c r="AG214" s="108"/>
      <c r="AH214" s="108"/>
      <c r="AI214" s="122"/>
      <c r="AJ214" s="96">
        <f>SUM(AE214:AH214)</f>
        <v>0</v>
      </c>
      <c r="AK214" s="97">
        <f>IF(C214=2016, AJ214/3,AJ214)+AI214</f>
        <v>0</v>
      </c>
      <c r="AL214" s="101"/>
      <c r="AM214" s="41"/>
      <c r="AN214" s="41"/>
      <c r="AO214" s="41"/>
      <c r="AP214" s="41"/>
      <c r="AQ214" s="41"/>
      <c r="AR214" s="41"/>
      <c r="AS214" s="13"/>
    </row>
    <row r="215" spans="1:67" x14ac:dyDescent="0.25">
      <c r="A215" s="71" t="s">
        <v>1210</v>
      </c>
      <c r="B215" s="71" t="s">
        <v>834</v>
      </c>
      <c r="C215" s="72">
        <v>2015</v>
      </c>
      <c r="D215" s="1">
        <f t="shared" si="56"/>
        <v>67</v>
      </c>
      <c r="E215" s="283">
        <f>10+5</f>
        <v>15</v>
      </c>
      <c r="I215" s="261">
        <f>7+14</f>
        <v>21</v>
      </c>
      <c r="J215" s="246">
        <f>0+2</f>
        <v>2</v>
      </c>
      <c r="K215" s="241">
        <f>20+9</f>
        <v>29</v>
      </c>
      <c r="N215" s="267">
        <f t="shared" si="57"/>
        <v>0</v>
      </c>
      <c r="P215" s="96">
        <f t="shared" si="71"/>
        <v>52</v>
      </c>
      <c r="Q215" s="97">
        <f t="shared" si="59"/>
        <v>52</v>
      </c>
      <c r="Z215" s="152"/>
      <c r="AA215" s="96"/>
      <c r="AB215" s="97"/>
      <c r="AI215" s="120"/>
      <c r="AJ215" s="96"/>
      <c r="AK215" s="97"/>
      <c r="AL215" s="22"/>
      <c r="AT215" s="95"/>
      <c r="AU215" s="96"/>
      <c r="AV215" s="97"/>
    </row>
    <row r="216" spans="1:67" x14ac:dyDescent="0.25">
      <c r="A216" s="71" t="s">
        <v>887</v>
      </c>
      <c r="B216" s="71" t="s">
        <v>404</v>
      </c>
      <c r="C216" s="72">
        <v>2014</v>
      </c>
      <c r="D216" s="1">
        <f t="shared" si="56"/>
        <v>38</v>
      </c>
      <c r="L216" s="241"/>
      <c r="M216" s="241"/>
      <c r="N216" s="267">
        <f t="shared" si="57"/>
        <v>38</v>
      </c>
      <c r="P216" s="96">
        <f t="shared" si="71"/>
        <v>38</v>
      </c>
      <c r="Q216" s="97">
        <f t="shared" si="59"/>
        <v>38</v>
      </c>
      <c r="R216" s="241"/>
      <c r="S216" s="241">
        <f>5</f>
        <v>5</v>
      </c>
      <c r="T216" s="241"/>
      <c r="U216" s="241"/>
      <c r="V216" s="241">
        <f>23+10</f>
        <v>33</v>
      </c>
      <c r="W216" s="241"/>
      <c r="X216" s="241"/>
      <c r="Y216" s="241">
        <f>AK216</f>
        <v>0</v>
      </c>
      <c r="Z216" s="152"/>
      <c r="AA216" s="96">
        <f>AM216+S216+T216+U216+V216+W216+X216+Y216</f>
        <v>38</v>
      </c>
      <c r="AB216" s="97">
        <f>IF(C216=2017, AA216/3,AA216)+Z216</f>
        <v>38</v>
      </c>
      <c r="AE216" s="241"/>
      <c r="AF216" s="241"/>
      <c r="AG216" s="241"/>
      <c r="AH216" s="241"/>
      <c r="AI216" s="120"/>
      <c r="AJ216" s="96">
        <f>SUM(AE216:AH216)</f>
        <v>0</v>
      </c>
      <c r="AK216" s="97">
        <f>IF(C216=2016, AJ216/3,AJ216)+AI216</f>
        <v>0</v>
      </c>
      <c r="AL216" s="22"/>
      <c r="AM216" s="241"/>
      <c r="AN216" s="241"/>
      <c r="AO216" s="241"/>
      <c r="AP216" s="241"/>
      <c r="AQ216" s="241"/>
      <c r="AR216" s="241"/>
      <c r="AS216" s="240"/>
      <c r="AT216" s="95"/>
      <c r="AU216" s="96"/>
      <c r="AV216" s="97"/>
    </row>
    <row r="217" spans="1:67" x14ac:dyDescent="0.25">
      <c r="A217" s="45" t="s">
        <v>78</v>
      </c>
      <c r="B217" s="66" t="s">
        <v>63</v>
      </c>
      <c r="C217" s="46">
        <v>2015</v>
      </c>
      <c r="D217" s="1">
        <f t="shared" si="56"/>
        <v>4</v>
      </c>
      <c r="H217" s="280"/>
      <c r="N217" s="267">
        <f t="shared" si="57"/>
        <v>4</v>
      </c>
      <c r="P217" s="96">
        <f t="shared" si="71"/>
        <v>4</v>
      </c>
      <c r="Q217" s="97">
        <f t="shared" si="59"/>
        <v>4</v>
      </c>
      <c r="Y217" s="215">
        <f>AK217</f>
        <v>4</v>
      </c>
      <c r="Z217" s="120"/>
      <c r="AA217" s="96">
        <f>AM217+S217+T217+U217+V217+W217+X217+Y217</f>
        <v>4</v>
      </c>
      <c r="AB217" s="97">
        <f>IF(C217=2017, AA217/3,AA217)+Z217</f>
        <v>4</v>
      </c>
      <c r="AC217" s="263"/>
      <c r="AD217" s="263"/>
      <c r="AH217" s="50">
        <f>AV217</f>
        <v>4</v>
      </c>
      <c r="AI217" s="120"/>
      <c r="AJ217" s="96">
        <f>SUM(AE217:AH217)</f>
        <v>4</v>
      </c>
      <c r="AK217" s="97">
        <f>IF(C217=2016, AJ217/3,AJ217)+AI217</f>
        <v>4</v>
      </c>
      <c r="AL217" s="101"/>
      <c r="AM217" s="41"/>
      <c r="AN217" s="41">
        <v>12</v>
      </c>
      <c r="AO217" s="41">
        <f>0</f>
        <v>0</v>
      </c>
      <c r="AP217" s="41">
        <f>0</f>
        <v>0</v>
      </c>
      <c r="AQ217" s="41"/>
      <c r="AR217" s="41"/>
      <c r="AS217" s="286"/>
      <c r="AT217" s="95"/>
      <c r="AU217" s="96">
        <f>SUM(AM217:AS217)</f>
        <v>12</v>
      </c>
      <c r="AV217" s="97">
        <f>IF(C217=2015, AU217/3,AU217)+AT217</f>
        <v>4</v>
      </c>
    </row>
    <row r="218" spans="1:67" x14ac:dyDescent="0.25">
      <c r="A218" s="11" t="s">
        <v>1120</v>
      </c>
      <c r="B218" s="11" t="s">
        <v>1088</v>
      </c>
      <c r="C218" s="3">
        <v>2014</v>
      </c>
      <c r="D218" s="1">
        <f t="shared" si="56"/>
        <v>15</v>
      </c>
      <c r="L218" s="228">
        <f>15</f>
        <v>15</v>
      </c>
      <c r="N218" s="267">
        <f t="shared" si="57"/>
        <v>0</v>
      </c>
      <c r="P218" s="96">
        <f t="shared" si="71"/>
        <v>15</v>
      </c>
      <c r="Q218" s="97">
        <f t="shared" si="59"/>
        <v>15</v>
      </c>
      <c r="Z218" s="287"/>
      <c r="AI218" s="287"/>
      <c r="AL218" s="285"/>
      <c r="AM218" s="287"/>
      <c r="AN218" s="287"/>
      <c r="AO218" s="287"/>
      <c r="AP218" s="287"/>
      <c r="AQ218" s="287"/>
      <c r="AR218" s="287"/>
      <c r="AS218" s="285"/>
    </row>
    <row r="219" spans="1:67" x14ac:dyDescent="0.25">
      <c r="A219" s="71" t="s">
        <v>1004</v>
      </c>
      <c r="B219" s="71" t="s">
        <v>86</v>
      </c>
      <c r="C219" s="72">
        <v>2015</v>
      </c>
      <c r="D219" s="1">
        <f t="shared" si="56"/>
        <v>15</v>
      </c>
      <c r="L219" s="228">
        <f>9+6</f>
        <v>15</v>
      </c>
      <c r="N219" s="267">
        <f t="shared" si="57"/>
        <v>0</v>
      </c>
      <c r="P219" s="96">
        <f t="shared" si="71"/>
        <v>15</v>
      </c>
      <c r="Q219" s="97">
        <f t="shared" si="59"/>
        <v>15</v>
      </c>
      <c r="S219" s="201">
        <f>0</f>
        <v>0</v>
      </c>
      <c r="Y219" s="215">
        <f t="shared" ref="Y219:Y224" si="72">AK219</f>
        <v>0</v>
      </c>
      <c r="Z219" s="152"/>
      <c r="AA219" s="96">
        <f t="shared" ref="AA219:AA224" si="73">AM219+S219+T219+U219+V219+W219+X219+Y219</f>
        <v>0</v>
      </c>
      <c r="AB219" s="97">
        <f t="shared" ref="AB219:AB224" si="74">IF(C219=2017, AA219/3,AA219)+Z219</f>
        <v>0</v>
      </c>
      <c r="AI219" s="120"/>
      <c r="AJ219" s="96">
        <f t="shared" ref="AJ219:AJ224" si="75">SUM(AE219:AH219)</f>
        <v>0</v>
      </c>
      <c r="AK219" s="97">
        <f t="shared" ref="AK219:AK224" si="76">IF(C219=2016, AJ219/3,AJ219)+AI219</f>
        <v>0</v>
      </c>
      <c r="AL219" s="22"/>
      <c r="AT219" s="95"/>
      <c r="AU219" s="96"/>
      <c r="AV219" s="97"/>
    </row>
    <row r="220" spans="1:67" s="17" customFormat="1" x14ac:dyDescent="0.25">
      <c r="A220" s="71" t="s">
        <v>959</v>
      </c>
      <c r="B220" s="71" t="s">
        <v>938</v>
      </c>
      <c r="C220" s="72">
        <v>2015</v>
      </c>
      <c r="D220" s="1">
        <f t="shared" si="56"/>
        <v>123</v>
      </c>
      <c r="E220" s="283">
        <f>16+36</f>
        <v>52</v>
      </c>
      <c r="F220" s="278">
        <f>21</f>
        <v>21</v>
      </c>
      <c r="G220" s="120"/>
      <c r="H220" s="13"/>
      <c r="I220" s="261"/>
      <c r="J220" s="246"/>
      <c r="K220" s="241"/>
      <c r="L220" s="228"/>
      <c r="M220" s="228"/>
      <c r="N220" s="267">
        <f t="shared" si="57"/>
        <v>50</v>
      </c>
      <c r="O220" s="120"/>
      <c r="P220" s="96">
        <f t="shared" si="71"/>
        <v>50</v>
      </c>
      <c r="Q220" s="97">
        <f t="shared" si="59"/>
        <v>50</v>
      </c>
      <c r="R220" s="228"/>
      <c r="S220" s="228"/>
      <c r="T220" s="228">
        <f>50</f>
        <v>50</v>
      </c>
      <c r="U220" s="228"/>
      <c r="V220" s="228"/>
      <c r="W220" s="228"/>
      <c r="X220" s="228"/>
      <c r="Y220" s="228">
        <f t="shared" si="72"/>
        <v>0</v>
      </c>
      <c r="Z220" s="152"/>
      <c r="AA220" s="96">
        <f t="shared" si="73"/>
        <v>50</v>
      </c>
      <c r="AB220" s="97">
        <f t="shared" si="74"/>
        <v>50</v>
      </c>
      <c r="AC220" s="13"/>
      <c r="AD220" s="13"/>
      <c r="AE220" s="228"/>
      <c r="AF220" s="228"/>
      <c r="AG220" s="228"/>
      <c r="AH220" s="228"/>
      <c r="AI220" s="120"/>
      <c r="AJ220" s="96">
        <f t="shared" si="75"/>
        <v>0</v>
      </c>
      <c r="AK220" s="97">
        <f t="shared" si="76"/>
        <v>0</v>
      </c>
      <c r="AL220" s="22"/>
      <c r="AM220" s="228"/>
      <c r="AN220" s="228"/>
      <c r="AO220" s="228"/>
      <c r="AP220" s="228"/>
      <c r="AQ220" s="228"/>
      <c r="AR220" s="228"/>
      <c r="AS220" s="285"/>
      <c r="AT220" s="95"/>
      <c r="AU220" s="96"/>
      <c r="AV220" s="97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spans="1:67" x14ac:dyDescent="0.25">
      <c r="A221" s="45" t="s">
        <v>80</v>
      </c>
      <c r="B221" s="66" t="s">
        <v>63</v>
      </c>
      <c r="C221" s="46">
        <v>2015</v>
      </c>
      <c r="D221" s="1">
        <f t="shared" si="56"/>
        <v>17</v>
      </c>
      <c r="H221" s="280"/>
      <c r="M221" s="228"/>
      <c r="N221" s="267">
        <f t="shared" si="57"/>
        <v>17</v>
      </c>
      <c r="P221" s="96">
        <f t="shared" si="71"/>
        <v>17</v>
      </c>
      <c r="Q221" s="97">
        <f t="shared" si="59"/>
        <v>17</v>
      </c>
      <c r="R221" s="228"/>
      <c r="S221" s="228"/>
      <c r="T221" s="228"/>
      <c r="U221" s="228"/>
      <c r="V221" s="228"/>
      <c r="W221" s="228"/>
      <c r="X221" s="228"/>
      <c r="Y221" s="228">
        <f t="shared" si="72"/>
        <v>17</v>
      </c>
      <c r="Z221" s="120"/>
      <c r="AA221" s="96">
        <f t="shared" si="73"/>
        <v>17</v>
      </c>
      <c r="AB221" s="97">
        <f t="shared" si="74"/>
        <v>17</v>
      </c>
      <c r="AC221" s="229"/>
      <c r="AD221" s="229"/>
      <c r="AE221" s="228"/>
      <c r="AF221" s="228"/>
      <c r="AG221" s="228"/>
      <c r="AH221" s="228">
        <f>AV221</f>
        <v>17</v>
      </c>
      <c r="AI221" s="120"/>
      <c r="AJ221" s="96">
        <f t="shared" si="75"/>
        <v>17</v>
      </c>
      <c r="AK221" s="97">
        <f t="shared" si="76"/>
        <v>17</v>
      </c>
      <c r="AL221" s="101"/>
      <c r="AM221" s="41"/>
      <c r="AN221" s="41">
        <v>33</v>
      </c>
      <c r="AO221" s="41"/>
      <c r="AP221" s="41">
        <f>18</f>
        <v>18</v>
      </c>
      <c r="AQ221" s="41"/>
      <c r="AR221" s="41"/>
      <c r="AS221" s="286"/>
      <c r="AT221" s="95"/>
      <c r="AU221" s="96">
        <f>SUM(AM221:AS221)</f>
        <v>51</v>
      </c>
      <c r="AV221" s="97">
        <f>IF(C221=2015, AU221/3,AU221)+AT221</f>
        <v>17</v>
      </c>
    </row>
    <row r="222" spans="1:67" x14ac:dyDescent="0.25">
      <c r="A222" s="71" t="s">
        <v>958</v>
      </c>
      <c r="B222" s="71" t="s">
        <v>938</v>
      </c>
      <c r="C222" s="72">
        <v>2014</v>
      </c>
      <c r="D222" s="1">
        <f t="shared" ref="D222:D282" si="77">Q222+F222+E222</f>
        <v>62</v>
      </c>
      <c r="K222" s="246"/>
      <c r="L222" s="246"/>
      <c r="M222" s="246"/>
      <c r="N222" s="267">
        <f t="shared" ref="N222:N282" si="78">AB222</f>
        <v>62</v>
      </c>
      <c r="P222" s="96">
        <f t="shared" si="71"/>
        <v>62</v>
      </c>
      <c r="Q222" s="97">
        <f t="shared" ref="Q222:Q282" si="79">IF(C222=2013, P222/3,P222)+O222</f>
        <v>62</v>
      </c>
      <c r="R222" s="246"/>
      <c r="S222" s="246"/>
      <c r="T222" s="246">
        <f>50+12</f>
        <v>62</v>
      </c>
      <c r="U222" s="246"/>
      <c r="V222" s="246"/>
      <c r="W222" s="246"/>
      <c r="X222" s="246"/>
      <c r="Y222" s="246">
        <f t="shared" si="72"/>
        <v>0</v>
      </c>
      <c r="Z222" s="152"/>
      <c r="AA222" s="96">
        <f t="shared" si="73"/>
        <v>62</v>
      </c>
      <c r="AB222" s="97">
        <f t="shared" si="74"/>
        <v>62</v>
      </c>
      <c r="AE222" s="246"/>
      <c r="AF222" s="246"/>
      <c r="AG222" s="246"/>
      <c r="AH222" s="246"/>
      <c r="AI222" s="120"/>
      <c r="AJ222" s="96">
        <f t="shared" si="75"/>
        <v>0</v>
      </c>
      <c r="AK222" s="97">
        <f t="shared" si="76"/>
        <v>0</v>
      </c>
      <c r="AL222" s="22"/>
      <c r="AM222" s="287"/>
      <c r="AN222" s="287"/>
      <c r="AO222" s="287"/>
      <c r="AP222" s="287"/>
      <c r="AQ222" s="287"/>
      <c r="AR222" s="287"/>
      <c r="AS222" s="285"/>
      <c r="AT222" s="95"/>
      <c r="AU222" s="96"/>
      <c r="AV222" s="97"/>
    </row>
    <row r="223" spans="1:67" x14ac:dyDescent="0.25">
      <c r="A223" s="45" t="s">
        <v>71</v>
      </c>
      <c r="B223" s="66" t="s">
        <v>63</v>
      </c>
      <c r="C223" s="46">
        <v>2016</v>
      </c>
      <c r="D223" s="1">
        <f t="shared" si="77"/>
        <v>4</v>
      </c>
      <c r="E223" s="154"/>
      <c r="F223" s="154"/>
      <c r="H223" s="290"/>
      <c r="I223" s="154"/>
      <c r="J223" s="154"/>
      <c r="K223" s="154"/>
      <c r="L223" s="154"/>
      <c r="M223" s="154"/>
      <c r="N223" s="267">
        <f t="shared" si="78"/>
        <v>4</v>
      </c>
      <c r="P223" s="96">
        <f t="shared" si="71"/>
        <v>4</v>
      </c>
      <c r="Q223" s="97">
        <f t="shared" si="79"/>
        <v>4</v>
      </c>
      <c r="R223" s="154"/>
      <c r="S223" s="154"/>
      <c r="T223" s="154"/>
      <c r="U223" s="154"/>
      <c r="V223" s="154"/>
      <c r="W223" s="154"/>
      <c r="X223" s="154"/>
      <c r="Y223" s="241">
        <f t="shared" si="72"/>
        <v>4</v>
      </c>
      <c r="Z223" s="122"/>
      <c r="AA223" s="96">
        <f t="shared" si="73"/>
        <v>4</v>
      </c>
      <c r="AB223" s="97">
        <f t="shared" si="74"/>
        <v>4</v>
      </c>
      <c r="AC223" s="290"/>
      <c r="AD223" s="290"/>
      <c r="AE223" s="108"/>
      <c r="AF223" s="108"/>
      <c r="AG223" s="108"/>
      <c r="AH223" s="108">
        <f>AV223</f>
        <v>12</v>
      </c>
      <c r="AI223" s="122"/>
      <c r="AJ223" s="96">
        <f t="shared" si="75"/>
        <v>12</v>
      </c>
      <c r="AK223" s="97">
        <f t="shared" si="76"/>
        <v>4</v>
      </c>
      <c r="AL223" s="101"/>
      <c r="AM223" s="41"/>
      <c r="AN223" s="41">
        <v>12</v>
      </c>
      <c r="AO223" s="41">
        <f>0</f>
        <v>0</v>
      </c>
      <c r="AP223" s="41">
        <f>0</f>
        <v>0</v>
      </c>
      <c r="AQ223" s="41"/>
      <c r="AR223" s="41"/>
      <c r="AS223" s="286"/>
      <c r="AU223" s="96">
        <f>SUM(AM223:AS223)</f>
        <v>12</v>
      </c>
      <c r="AV223" s="97">
        <f>IF(C223=2015, AU223/3,AU223)+AT223</f>
        <v>12</v>
      </c>
    </row>
    <row r="224" spans="1:67" x14ac:dyDescent="0.25">
      <c r="A224" s="11" t="s">
        <v>732</v>
      </c>
      <c r="B224" s="60" t="s">
        <v>63</v>
      </c>
      <c r="C224" s="62">
        <v>2014</v>
      </c>
      <c r="D224" s="1">
        <f t="shared" si="77"/>
        <v>96</v>
      </c>
      <c r="H224" s="290"/>
      <c r="N224" s="267">
        <f t="shared" si="78"/>
        <v>96</v>
      </c>
      <c r="P224" s="96">
        <f t="shared" si="71"/>
        <v>96</v>
      </c>
      <c r="Q224" s="97">
        <f t="shared" si="79"/>
        <v>96</v>
      </c>
      <c r="V224" s="168">
        <f>43+10</f>
        <v>53</v>
      </c>
      <c r="W224" s="168">
        <f>37+6</f>
        <v>43</v>
      </c>
      <c r="X224" s="168">
        <f>0</f>
        <v>0</v>
      </c>
      <c r="Y224" s="215">
        <f t="shared" si="72"/>
        <v>0</v>
      </c>
      <c r="Z224" s="152"/>
      <c r="AA224" s="96">
        <f t="shared" si="73"/>
        <v>96</v>
      </c>
      <c r="AB224" s="97">
        <f t="shared" si="74"/>
        <v>96</v>
      </c>
      <c r="AC224" s="290"/>
      <c r="AD224" s="290"/>
      <c r="AE224" s="168"/>
      <c r="AF224" s="168"/>
      <c r="AG224" s="168"/>
      <c r="AH224" s="168"/>
      <c r="AI224" s="120"/>
      <c r="AJ224" s="96">
        <f t="shared" si="75"/>
        <v>0</v>
      </c>
      <c r="AK224" s="97">
        <f t="shared" si="76"/>
        <v>0</v>
      </c>
      <c r="AL224" s="22"/>
      <c r="AM224" s="151"/>
      <c r="AN224" s="151"/>
      <c r="AO224" s="151"/>
      <c r="AP224" s="151"/>
      <c r="AQ224" s="151"/>
      <c r="AR224" s="151"/>
      <c r="AS224" s="13"/>
      <c r="AT224" s="95"/>
      <c r="AU224" s="96">
        <f>SUM(AM224:AS224)</f>
        <v>0</v>
      </c>
      <c r="AV224" s="97">
        <f>IF(C224=2015, AU224/3,AU224)+AT224</f>
        <v>0</v>
      </c>
    </row>
    <row r="225" spans="1:48" x14ac:dyDescent="0.25">
      <c r="A225" s="11" t="s">
        <v>1228</v>
      </c>
      <c r="B225" s="11" t="s">
        <v>1222</v>
      </c>
      <c r="D225" s="1">
        <f t="shared" si="77"/>
        <v>9</v>
      </c>
      <c r="K225" s="241">
        <v>9</v>
      </c>
      <c r="N225" s="267">
        <f t="shared" si="78"/>
        <v>0</v>
      </c>
      <c r="P225" s="96">
        <f t="shared" si="71"/>
        <v>9</v>
      </c>
      <c r="Q225" s="97">
        <f t="shared" si="79"/>
        <v>9</v>
      </c>
      <c r="U225" s="192"/>
      <c r="V225" s="192"/>
      <c r="W225" s="192"/>
      <c r="X225" s="192"/>
      <c r="Z225" s="287"/>
      <c r="AE225" s="192"/>
      <c r="AF225" s="192"/>
      <c r="AG225" s="192"/>
      <c r="AH225" s="192"/>
      <c r="AI225" s="287"/>
      <c r="AL225" s="285"/>
      <c r="AM225" s="287"/>
      <c r="AN225" s="287"/>
      <c r="AO225" s="287"/>
      <c r="AP225" s="287"/>
      <c r="AQ225" s="287"/>
      <c r="AR225" s="287"/>
      <c r="AS225" s="285"/>
    </row>
    <row r="226" spans="1:48" x14ac:dyDescent="0.25">
      <c r="A226" s="71" t="s">
        <v>1138</v>
      </c>
      <c r="B226" s="71" t="s">
        <v>476</v>
      </c>
      <c r="C226" s="72">
        <v>2015</v>
      </c>
      <c r="D226" s="1">
        <f t="shared" si="77"/>
        <v>0</v>
      </c>
      <c r="J226" s="261"/>
      <c r="K226" s="261"/>
      <c r="L226" s="261">
        <f>0</f>
        <v>0</v>
      </c>
      <c r="M226" s="261"/>
      <c r="N226" s="267">
        <f t="shared" si="78"/>
        <v>0</v>
      </c>
      <c r="P226" s="96">
        <f t="shared" si="71"/>
        <v>0</v>
      </c>
      <c r="Q226" s="97">
        <f t="shared" si="79"/>
        <v>0</v>
      </c>
      <c r="R226" s="261"/>
      <c r="S226" s="261"/>
      <c r="T226" s="261"/>
      <c r="U226" s="261"/>
      <c r="V226" s="261"/>
      <c r="W226" s="261"/>
      <c r="X226" s="261"/>
      <c r="Z226" s="152"/>
      <c r="AA226" s="96"/>
      <c r="AB226" s="97"/>
      <c r="AE226" s="164"/>
      <c r="AF226" s="164"/>
      <c r="AG226" s="164"/>
      <c r="AH226" s="164"/>
      <c r="AI226" s="120"/>
      <c r="AJ226" s="96"/>
      <c r="AK226" s="97"/>
      <c r="AL226" s="22"/>
      <c r="AM226" s="287"/>
      <c r="AN226" s="287"/>
      <c r="AO226" s="287"/>
      <c r="AP226" s="287"/>
      <c r="AQ226" s="287"/>
      <c r="AR226" s="287"/>
      <c r="AS226" s="285"/>
      <c r="AT226" s="95"/>
      <c r="AU226" s="96"/>
      <c r="AV226" s="97"/>
    </row>
    <row r="227" spans="1:48" x14ac:dyDescent="0.25">
      <c r="A227" s="11" t="s">
        <v>612</v>
      </c>
      <c r="B227" s="60" t="s">
        <v>231</v>
      </c>
      <c r="C227" s="62"/>
      <c r="D227" s="1">
        <f t="shared" si="77"/>
        <v>13</v>
      </c>
      <c r="H227" s="290"/>
      <c r="J227" s="261"/>
      <c r="K227" s="261"/>
      <c r="L227" s="261"/>
      <c r="M227" s="261"/>
      <c r="N227" s="267">
        <f t="shared" si="78"/>
        <v>13</v>
      </c>
      <c r="P227" s="96">
        <f t="shared" si="71"/>
        <v>13</v>
      </c>
      <c r="Q227" s="97">
        <f t="shared" si="79"/>
        <v>13</v>
      </c>
      <c r="R227" s="261"/>
      <c r="S227" s="261"/>
      <c r="T227" s="261"/>
      <c r="U227" s="261"/>
      <c r="V227" s="261"/>
      <c r="W227" s="261"/>
      <c r="X227" s="261"/>
      <c r="Y227" s="241">
        <f>AK227</f>
        <v>13</v>
      </c>
      <c r="Z227" s="152"/>
      <c r="AA227" s="96">
        <f>AM227+S227+T227+U227+V227+W227+X227+Y227</f>
        <v>13</v>
      </c>
      <c r="AB227" s="97">
        <f>IF(C227=2017, AA227/3,AA227)+Z227</f>
        <v>13</v>
      </c>
      <c r="AC227" s="290"/>
      <c r="AD227" s="290"/>
      <c r="AE227" s="241"/>
      <c r="AF227" s="241">
        <f>13</f>
        <v>13</v>
      </c>
      <c r="AG227" s="241"/>
      <c r="AH227" s="241"/>
      <c r="AI227" s="120"/>
      <c r="AJ227" s="96">
        <f>SUM(AE227:AH227)</f>
        <v>13</v>
      </c>
      <c r="AK227" s="97">
        <f>IF(C227=2016, AJ227/3,AJ227)+AI227</f>
        <v>13</v>
      </c>
      <c r="AL227" s="22"/>
      <c r="AM227" s="151"/>
      <c r="AN227" s="151"/>
      <c r="AO227" s="151"/>
      <c r="AP227" s="151"/>
      <c r="AQ227" s="151"/>
      <c r="AR227" s="151"/>
      <c r="AS227" s="13"/>
      <c r="AT227" s="95"/>
      <c r="AU227" s="96">
        <f>SUM(AM227:AS227)</f>
        <v>0</v>
      </c>
      <c r="AV227" s="97">
        <f>IF(C227=2015, AU227/3,AU227)+AT227</f>
        <v>0</v>
      </c>
    </row>
    <row r="228" spans="1:48" x14ac:dyDescent="0.25">
      <c r="A228" s="11" t="s">
        <v>561</v>
      </c>
      <c r="B228" s="60" t="s">
        <v>7</v>
      </c>
      <c r="C228" s="62">
        <v>2015</v>
      </c>
      <c r="D228" s="1">
        <f t="shared" si="77"/>
        <v>85</v>
      </c>
      <c r="H228" s="290"/>
      <c r="L228" s="241"/>
      <c r="M228" s="241"/>
      <c r="N228" s="267">
        <f t="shared" si="78"/>
        <v>85</v>
      </c>
      <c r="P228" s="96">
        <f t="shared" si="71"/>
        <v>85</v>
      </c>
      <c r="Q228" s="97">
        <f t="shared" si="79"/>
        <v>85</v>
      </c>
      <c r="R228" s="241"/>
      <c r="S228" s="241"/>
      <c r="T228" s="241"/>
      <c r="U228" s="241"/>
      <c r="V228" s="241"/>
      <c r="W228" s="241">
        <f>50</f>
        <v>50</v>
      </c>
      <c r="X228" s="241"/>
      <c r="Y228" s="215">
        <f>AK228</f>
        <v>35</v>
      </c>
      <c r="Z228" s="152"/>
      <c r="AA228" s="96">
        <f>AM228+S228+T228+U228+V228+W228+X228+Y228</f>
        <v>85</v>
      </c>
      <c r="AB228" s="97">
        <f>IF(C228=2017, AA228/3,AA228)+Z228</f>
        <v>85</v>
      </c>
      <c r="AC228" s="290"/>
      <c r="AD228" s="290"/>
      <c r="AE228" s="192">
        <f>22</f>
        <v>22</v>
      </c>
      <c r="AF228" s="192">
        <f>13</f>
        <v>13</v>
      </c>
      <c r="AG228" s="192">
        <f>0</f>
        <v>0</v>
      </c>
      <c r="AH228" s="192"/>
      <c r="AI228" s="120"/>
      <c r="AJ228" s="96">
        <f>SUM(AE228:AH228)</f>
        <v>35</v>
      </c>
      <c r="AK228" s="97">
        <f>IF(C228=2016, AJ228/3,AJ228)+AI228</f>
        <v>35</v>
      </c>
      <c r="AL228" s="22"/>
      <c r="AM228" s="151"/>
      <c r="AN228" s="151"/>
      <c r="AO228" s="151"/>
      <c r="AP228" s="151"/>
      <c r="AQ228" s="151"/>
      <c r="AR228" s="151"/>
      <c r="AS228" s="13"/>
      <c r="AT228" s="95"/>
      <c r="AU228" s="96">
        <f>SUM(AM228:AS228)</f>
        <v>0</v>
      </c>
      <c r="AV228" s="97">
        <f>IF(C228=2015, AU228/3,AU228)+AT228</f>
        <v>0</v>
      </c>
    </row>
    <row r="229" spans="1:48" x14ac:dyDescent="0.25">
      <c r="A229" s="11" t="s">
        <v>125</v>
      </c>
      <c r="B229" s="60" t="s">
        <v>86</v>
      </c>
      <c r="C229" s="62">
        <v>2014</v>
      </c>
      <c r="D229" s="1">
        <f t="shared" si="77"/>
        <v>185</v>
      </c>
      <c r="H229" s="290"/>
      <c r="L229" s="228">
        <f>66</f>
        <v>66</v>
      </c>
      <c r="N229" s="267">
        <f t="shared" si="78"/>
        <v>119</v>
      </c>
      <c r="P229" s="96">
        <f t="shared" si="71"/>
        <v>185</v>
      </c>
      <c r="Q229" s="97">
        <f t="shared" si="79"/>
        <v>185</v>
      </c>
      <c r="S229" s="201">
        <f>96</f>
        <v>96</v>
      </c>
      <c r="W229" s="164"/>
      <c r="X229" s="164"/>
      <c r="Y229" s="215">
        <f>AK229</f>
        <v>23</v>
      </c>
      <c r="Z229" s="120"/>
      <c r="AA229" s="96">
        <f>AM229+S229+T229+U229+V229+W229+X229+Y229</f>
        <v>119</v>
      </c>
      <c r="AB229" s="97">
        <f>IF(C229=2017, AA229/3,AA229)+Z229</f>
        <v>119</v>
      </c>
      <c r="AC229" s="290"/>
      <c r="AD229" s="290"/>
      <c r="AE229" s="164"/>
      <c r="AF229" s="164"/>
      <c r="AG229" s="164"/>
      <c r="AH229" s="164">
        <f>AV229</f>
        <v>23</v>
      </c>
      <c r="AI229" s="120"/>
      <c r="AJ229" s="96">
        <f>SUM(AE229:AH229)</f>
        <v>23</v>
      </c>
      <c r="AK229" s="97">
        <f>IF(C229=2016, AJ229/3,AJ229)+AI229</f>
        <v>23</v>
      </c>
      <c r="AL229" s="22"/>
      <c r="AM229" s="41"/>
      <c r="AN229" s="41">
        <f>20+3</f>
        <v>23</v>
      </c>
      <c r="AO229" s="41"/>
      <c r="AP229" s="41"/>
      <c r="AQ229" s="41"/>
      <c r="AR229" s="41"/>
      <c r="AS229" s="13"/>
      <c r="AT229" s="95"/>
      <c r="AU229" s="96">
        <f>SUM(AM229:AS229)</f>
        <v>23</v>
      </c>
      <c r="AV229" s="97">
        <f>IF(C229=2015, AU229/3,AU229)+AT229</f>
        <v>23</v>
      </c>
    </row>
    <row r="230" spans="1:48" x14ac:dyDescent="0.25">
      <c r="A230" s="71" t="s">
        <v>1093</v>
      </c>
      <c r="B230" s="71" t="s">
        <v>86</v>
      </c>
      <c r="C230" s="72">
        <v>2014</v>
      </c>
      <c r="D230" s="1">
        <f t="shared" si="77"/>
        <v>40</v>
      </c>
      <c r="E230" s="287"/>
      <c r="F230" s="287"/>
      <c r="I230" s="287"/>
      <c r="J230" s="287"/>
      <c r="K230" s="287"/>
      <c r="L230" s="287">
        <f>40</f>
        <v>40</v>
      </c>
      <c r="M230" s="287"/>
      <c r="N230" s="267">
        <f t="shared" si="78"/>
        <v>0</v>
      </c>
      <c r="P230" s="96">
        <f t="shared" si="71"/>
        <v>40</v>
      </c>
      <c r="Q230" s="97">
        <f t="shared" si="79"/>
        <v>40</v>
      </c>
      <c r="R230" s="287"/>
      <c r="S230" s="287"/>
      <c r="T230" s="287"/>
      <c r="U230" s="287"/>
      <c r="V230" s="287"/>
      <c r="W230" s="287"/>
      <c r="X230" s="287"/>
      <c r="Y230" s="241"/>
      <c r="Z230" s="152"/>
      <c r="AA230" s="96"/>
      <c r="AB230" s="97"/>
      <c r="AE230" s="241"/>
      <c r="AF230" s="241"/>
      <c r="AG230" s="241"/>
      <c r="AH230" s="241"/>
      <c r="AI230" s="120"/>
      <c r="AJ230" s="96"/>
      <c r="AK230" s="97"/>
      <c r="AL230" s="22"/>
      <c r="AM230" s="287"/>
      <c r="AN230" s="287"/>
      <c r="AO230" s="287"/>
      <c r="AP230" s="287"/>
      <c r="AQ230" s="287"/>
      <c r="AR230" s="287"/>
      <c r="AS230" s="285"/>
      <c r="AT230" s="95"/>
      <c r="AU230" s="96"/>
      <c r="AV230" s="97"/>
    </row>
    <row r="231" spans="1:48" x14ac:dyDescent="0.25">
      <c r="A231" s="71" t="s">
        <v>895</v>
      </c>
      <c r="B231" s="71" t="s">
        <v>0</v>
      </c>
      <c r="C231" s="72">
        <v>2016</v>
      </c>
      <c r="D231" s="1">
        <f t="shared" si="77"/>
        <v>0</v>
      </c>
      <c r="E231" s="287"/>
      <c r="F231" s="287"/>
      <c r="I231" s="287"/>
      <c r="J231" s="287"/>
      <c r="K231" s="287"/>
      <c r="L231" s="287"/>
      <c r="M231" s="287"/>
      <c r="N231" s="267">
        <f t="shared" si="78"/>
        <v>0</v>
      </c>
      <c r="P231" s="96">
        <f t="shared" si="71"/>
        <v>0</v>
      </c>
      <c r="Q231" s="97">
        <f t="shared" si="79"/>
        <v>0</v>
      </c>
      <c r="R231" s="287"/>
      <c r="S231" s="287"/>
      <c r="T231" s="287"/>
      <c r="U231" s="287"/>
      <c r="V231" s="287">
        <f>0</f>
        <v>0</v>
      </c>
      <c r="W231" s="287"/>
      <c r="X231" s="287"/>
      <c r="Y231" s="215">
        <f>AK231</f>
        <v>0</v>
      </c>
      <c r="Z231" s="152"/>
      <c r="AA231" s="96">
        <f>AM231+S231+T231+U231+V231+W231+X231+Y231</f>
        <v>0</v>
      </c>
      <c r="AB231" s="97">
        <f>IF(C231=2017, AA231/3,AA231)+Z231</f>
        <v>0</v>
      </c>
      <c r="AE231" s="228"/>
      <c r="AF231" s="228"/>
      <c r="AG231" s="228"/>
      <c r="AH231" s="228"/>
      <c r="AI231" s="120"/>
      <c r="AJ231" s="96">
        <f>SUM(AE231:AH231)</f>
        <v>0</v>
      </c>
      <c r="AK231" s="97">
        <f>IF(C231=2016, AJ231/3,AJ231)+AI231</f>
        <v>0</v>
      </c>
      <c r="AL231" s="22"/>
      <c r="AM231" s="287"/>
      <c r="AN231" s="287"/>
      <c r="AO231" s="287"/>
      <c r="AP231" s="287"/>
      <c r="AQ231" s="287"/>
      <c r="AR231" s="287"/>
      <c r="AS231" s="285"/>
      <c r="AT231" s="95"/>
      <c r="AU231" s="96"/>
      <c r="AV231" s="97"/>
    </row>
    <row r="232" spans="1:48" x14ac:dyDescent="0.25">
      <c r="A232" s="11" t="s">
        <v>1099</v>
      </c>
      <c r="B232" s="11" t="s">
        <v>0</v>
      </c>
      <c r="C232" s="3">
        <v>2017</v>
      </c>
      <c r="D232" s="1">
        <f t="shared" si="77"/>
        <v>42.666666666666664</v>
      </c>
      <c r="E232" s="108"/>
      <c r="F232" s="108"/>
      <c r="H232" s="101"/>
      <c r="I232" s="108"/>
      <c r="J232" s="108"/>
      <c r="K232" s="108">
        <f>15</f>
        <v>15</v>
      </c>
      <c r="L232" s="108">
        <f>24</f>
        <v>24</v>
      </c>
      <c r="M232" s="108"/>
      <c r="N232" s="267">
        <f t="shared" si="78"/>
        <v>3.6666666666666665</v>
      </c>
      <c r="P232" s="96">
        <f t="shared" si="71"/>
        <v>42.666666666666664</v>
      </c>
      <c r="Q232" s="97">
        <f t="shared" si="79"/>
        <v>42.666666666666664</v>
      </c>
      <c r="R232" s="108"/>
      <c r="S232" s="108">
        <f>9</f>
        <v>9</v>
      </c>
      <c r="T232" s="108">
        <f>2</f>
        <v>2</v>
      </c>
      <c r="U232" s="101"/>
      <c r="V232" s="101"/>
      <c r="W232" s="101"/>
      <c r="X232" s="101"/>
      <c r="Y232" s="215">
        <f>AK232</f>
        <v>0</v>
      </c>
      <c r="Z232" s="101"/>
      <c r="AA232" s="96">
        <f>AM232+S232+T232+U232+V232+W232+X232+Y232</f>
        <v>11</v>
      </c>
      <c r="AB232" s="97">
        <f>IF(C232=2017, AA232/3,AA232)+Z232</f>
        <v>3.6666666666666665</v>
      </c>
      <c r="AC232" s="101"/>
      <c r="AD232" s="101"/>
      <c r="AE232" s="101"/>
      <c r="AF232" s="101"/>
      <c r="AG232" s="101"/>
      <c r="AH232" s="101"/>
      <c r="AI232" s="101"/>
      <c r="AJ232" s="96">
        <f>SUM(AE232:AH232)</f>
        <v>0</v>
      </c>
      <c r="AK232" s="97">
        <f>IF(C232=2016, AJ232/3,AJ232)+AI232</f>
        <v>0</v>
      </c>
      <c r="AL232" s="101"/>
      <c r="AM232" s="41"/>
      <c r="AN232" s="41"/>
      <c r="AO232" s="41"/>
      <c r="AP232" s="41"/>
      <c r="AQ232" s="41"/>
      <c r="AR232" s="41"/>
      <c r="AS232" s="13"/>
    </row>
    <row r="233" spans="1:48" x14ac:dyDescent="0.25">
      <c r="A233" s="11" t="s">
        <v>619</v>
      </c>
      <c r="B233" s="60" t="s">
        <v>598</v>
      </c>
      <c r="C233" s="62"/>
      <c r="D233" s="1">
        <f t="shared" si="77"/>
        <v>48</v>
      </c>
      <c r="H233" s="290"/>
      <c r="M233" s="228"/>
      <c r="N233" s="267">
        <f t="shared" si="78"/>
        <v>48</v>
      </c>
      <c r="P233" s="96">
        <f t="shared" si="71"/>
        <v>48</v>
      </c>
      <c r="Q233" s="97">
        <f t="shared" si="79"/>
        <v>48</v>
      </c>
      <c r="R233" s="228"/>
      <c r="S233" s="228"/>
      <c r="T233" s="228"/>
      <c r="U233" s="228"/>
      <c r="V233" s="228"/>
      <c r="W233" s="228"/>
      <c r="X233" s="228"/>
      <c r="Y233" s="228">
        <f>AK233</f>
        <v>48</v>
      </c>
      <c r="Z233" s="152"/>
      <c r="AA233" s="96">
        <f>AM233+S233+T233+U233+V233+W233+X233+Y233</f>
        <v>48</v>
      </c>
      <c r="AB233" s="97">
        <f>IF(C233=2017, AA233/3,AA233)+Z233</f>
        <v>48</v>
      </c>
      <c r="AC233" s="290"/>
      <c r="AD233" s="290"/>
      <c r="AE233" s="228"/>
      <c r="AF233" s="228">
        <f>48</f>
        <v>48</v>
      </c>
      <c r="AG233" s="228"/>
      <c r="AH233" s="228"/>
      <c r="AI233" s="120"/>
      <c r="AJ233" s="96">
        <f>SUM(AE233:AH233)</f>
        <v>48</v>
      </c>
      <c r="AK233" s="97">
        <f>IF(C233=2016, AJ233/3,AJ233)+AI233</f>
        <v>48</v>
      </c>
      <c r="AL233" s="22"/>
      <c r="AM233" s="151"/>
      <c r="AN233" s="151"/>
      <c r="AO233" s="151"/>
      <c r="AP233" s="151"/>
      <c r="AQ233" s="151"/>
      <c r="AR233" s="151"/>
      <c r="AS233" s="13"/>
      <c r="AT233" s="95"/>
      <c r="AU233" s="96">
        <f>SUM(AM233:AS233)</f>
        <v>0</v>
      </c>
      <c r="AV233" s="97">
        <f>IF(C233=2015, AU233/3,AU233)+AT233</f>
        <v>0</v>
      </c>
    </row>
    <row r="234" spans="1:48" x14ac:dyDescent="0.25">
      <c r="A234" s="45" t="s">
        <v>462</v>
      </c>
      <c r="B234" s="66" t="s">
        <v>0</v>
      </c>
      <c r="C234" s="46">
        <v>2015</v>
      </c>
      <c r="D234" s="1">
        <f t="shared" si="77"/>
        <v>2.3333333333333335</v>
      </c>
      <c r="E234" s="287"/>
      <c r="F234" s="287"/>
      <c r="H234" s="290"/>
      <c r="I234" s="287"/>
      <c r="J234" s="287"/>
      <c r="K234" s="287"/>
      <c r="L234" s="287"/>
      <c r="M234" s="287"/>
      <c r="N234" s="267">
        <f t="shared" si="78"/>
        <v>2.3333333333333335</v>
      </c>
      <c r="P234" s="96">
        <f t="shared" si="71"/>
        <v>2.3333333333333335</v>
      </c>
      <c r="Q234" s="97">
        <f t="shared" si="79"/>
        <v>2.3333333333333335</v>
      </c>
      <c r="R234" s="287"/>
      <c r="S234" s="287"/>
      <c r="T234" s="287"/>
      <c r="U234" s="287"/>
      <c r="V234" s="287"/>
      <c r="W234" s="287"/>
      <c r="X234" s="287"/>
      <c r="Y234" s="215">
        <f>AK234</f>
        <v>2.3333333333333335</v>
      </c>
      <c r="Z234" s="120"/>
      <c r="AA234" s="96">
        <f>AM234+S234+T234+U234+V234+W234+X234+Y234</f>
        <v>2.3333333333333335</v>
      </c>
      <c r="AB234" s="97">
        <f>IF(C234=2017, AA234/3,AA234)+Z234</f>
        <v>2.3333333333333335</v>
      </c>
      <c r="AC234" s="290"/>
      <c r="AD234" s="290"/>
      <c r="AE234" s="287"/>
      <c r="AF234" s="287"/>
      <c r="AG234" s="287"/>
      <c r="AH234" s="287">
        <f>AV234</f>
        <v>2.3333333333333335</v>
      </c>
      <c r="AI234" s="120"/>
      <c r="AJ234" s="96">
        <f>SUM(AE234:AH234)</f>
        <v>2.3333333333333335</v>
      </c>
      <c r="AK234" s="97">
        <f>IF(C234=2016, AJ234/3,AJ234)+AI234</f>
        <v>2.3333333333333335</v>
      </c>
      <c r="AL234" s="101"/>
      <c r="AM234" s="41"/>
      <c r="AN234" s="41"/>
      <c r="AO234" s="41"/>
      <c r="AP234" s="41"/>
      <c r="AQ234" s="41"/>
      <c r="AR234" s="41">
        <f>7</f>
        <v>7</v>
      </c>
      <c r="AS234" s="13"/>
      <c r="AT234" s="95"/>
      <c r="AU234" s="96">
        <f>SUM(AM234:AS234)</f>
        <v>7</v>
      </c>
      <c r="AV234" s="97">
        <f>IF(C234=2015, AU234/3,AU234)+AT234</f>
        <v>2.3333333333333335</v>
      </c>
    </row>
    <row r="235" spans="1:48" ht="15.75" customHeight="1" x14ac:dyDescent="0.25">
      <c r="A235" s="11" t="s">
        <v>1209</v>
      </c>
      <c r="B235" s="71" t="s">
        <v>834</v>
      </c>
      <c r="C235" s="3">
        <v>2015</v>
      </c>
      <c r="D235" s="1">
        <f t="shared" si="77"/>
        <v>96</v>
      </c>
      <c r="E235" s="108">
        <f>37</f>
        <v>37</v>
      </c>
      <c r="F235" s="108"/>
      <c r="H235" s="101"/>
      <c r="I235" s="108">
        <f>27</f>
        <v>27</v>
      </c>
      <c r="J235" s="108"/>
      <c r="K235" s="108">
        <f>32</f>
        <v>32</v>
      </c>
      <c r="L235" s="108"/>
      <c r="M235" s="108"/>
      <c r="N235" s="267">
        <f t="shared" si="78"/>
        <v>0</v>
      </c>
      <c r="P235" s="96">
        <f t="shared" si="71"/>
        <v>59</v>
      </c>
      <c r="Q235" s="97">
        <f t="shared" si="79"/>
        <v>59</v>
      </c>
      <c r="R235" s="108"/>
      <c r="S235" s="108"/>
      <c r="T235" s="108"/>
      <c r="U235" s="101"/>
      <c r="V235" s="101"/>
      <c r="W235" s="101"/>
      <c r="X235" s="101"/>
      <c r="Z235" s="101"/>
      <c r="AA235" s="96"/>
      <c r="AB235" s="97"/>
      <c r="AC235" s="101"/>
      <c r="AD235" s="101"/>
      <c r="AE235" s="101"/>
      <c r="AF235" s="101"/>
      <c r="AG235" s="101"/>
      <c r="AH235" s="101"/>
      <c r="AI235" s="101"/>
      <c r="AJ235" s="96"/>
      <c r="AK235" s="97"/>
      <c r="AL235" s="101"/>
      <c r="AM235" s="41"/>
      <c r="AN235" s="41"/>
      <c r="AO235" s="41"/>
      <c r="AP235" s="41"/>
      <c r="AQ235" s="41"/>
      <c r="AR235" s="41"/>
      <c r="AS235" s="13"/>
    </row>
    <row r="236" spans="1:48" x14ac:dyDescent="0.25">
      <c r="A236" s="45" t="s">
        <v>616</v>
      </c>
      <c r="B236" s="66" t="s">
        <v>231</v>
      </c>
      <c r="C236" s="46"/>
      <c r="D236" s="1">
        <f t="shared" si="77"/>
        <v>2</v>
      </c>
      <c r="E236" s="154"/>
      <c r="F236" s="154"/>
      <c r="H236" s="290"/>
      <c r="I236" s="154"/>
      <c r="J236" s="154"/>
      <c r="K236" s="154"/>
      <c r="L236" s="154"/>
      <c r="M236" s="154"/>
      <c r="N236" s="267">
        <f t="shared" si="78"/>
        <v>2</v>
      </c>
      <c r="P236" s="96">
        <f t="shared" si="71"/>
        <v>2</v>
      </c>
      <c r="Q236" s="97">
        <f t="shared" si="79"/>
        <v>2</v>
      </c>
      <c r="R236" s="154"/>
      <c r="S236" s="154"/>
      <c r="T236" s="154"/>
      <c r="U236" s="154"/>
      <c r="V236" s="154"/>
      <c r="W236" s="154"/>
      <c r="X236" s="154"/>
      <c r="Y236" s="215">
        <f>AK236</f>
        <v>2</v>
      </c>
      <c r="Z236" s="152"/>
      <c r="AA236" s="96">
        <f>AM236+S236+T236+U236+V236+W236+X236+Y236</f>
        <v>2</v>
      </c>
      <c r="AB236" s="97">
        <f>IF(C236=2017, AA236/3,AA236)+Z236</f>
        <v>2</v>
      </c>
      <c r="AC236" s="290"/>
      <c r="AD236" s="290"/>
      <c r="AE236" s="201"/>
      <c r="AF236" s="201">
        <f>2</f>
        <v>2</v>
      </c>
      <c r="AG236" s="201"/>
      <c r="AH236" s="201"/>
      <c r="AI236" s="120"/>
      <c r="AJ236" s="96">
        <f>SUM(AE236:AH236)</f>
        <v>2</v>
      </c>
      <c r="AK236" s="97">
        <f>IF(C236=2016, AJ236/3,AJ236)+AI236</f>
        <v>2</v>
      </c>
      <c r="AL236" s="101"/>
      <c r="AM236" s="151"/>
      <c r="AN236" s="151"/>
      <c r="AO236" s="151"/>
      <c r="AP236" s="151"/>
      <c r="AQ236" s="151"/>
      <c r="AR236" s="151"/>
      <c r="AS236" s="13"/>
      <c r="AT236" s="95"/>
      <c r="AU236" s="96">
        <f>SUM(AM236:AS236)</f>
        <v>0</v>
      </c>
      <c r="AV236" s="97">
        <f>IF(C236=2015, AU236/3,AU236)+AT236</f>
        <v>0</v>
      </c>
    </row>
    <row r="237" spans="1:48" x14ac:dyDescent="0.25">
      <c r="A237" s="71" t="s">
        <v>339</v>
      </c>
      <c r="B237" s="71" t="s">
        <v>231</v>
      </c>
      <c r="C237" s="72"/>
      <c r="D237" s="1">
        <f t="shared" si="77"/>
        <v>0</v>
      </c>
      <c r="H237" s="290"/>
      <c r="K237" s="246"/>
      <c r="L237" s="246"/>
      <c r="M237" s="246"/>
      <c r="N237" s="267">
        <f t="shared" si="78"/>
        <v>0</v>
      </c>
      <c r="P237" s="96">
        <f t="shared" si="71"/>
        <v>0</v>
      </c>
      <c r="Q237" s="97">
        <f t="shared" si="79"/>
        <v>0</v>
      </c>
      <c r="R237" s="246"/>
      <c r="S237" s="246"/>
      <c r="T237" s="246"/>
      <c r="U237" s="246"/>
      <c r="V237" s="246"/>
      <c r="W237" s="246"/>
      <c r="X237" s="246"/>
      <c r="Y237" s="246">
        <f>AK237</f>
        <v>0</v>
      </c>
      <c r="Z237" s="120"/>
      <c r="AA237" s="96">
        <f>AM237+S237+T237+U237+V237+W237+X237+Y237</f>
        <v>0</v>
      </c>
      <c r="AB237" s="97">
        <f>IF(C237=2017, AA237/3,AA237)+Z237</f>
        <v>0</v>
      </c>
      <c r="AC237" s="290"/>
      <c r="AD237" s="290"/>
      <c r="AE237" s="246"/>
      <c r="AF237" s="246"/>
      <c r="AG237" s="246"/>
      <c r="AH237" s="246">
        <f>AV237</f>
        <v>0</v>
      </c>
      <c r="AI237" s="120"/>
      <c r="AJ237" s="96">
        <f>SUM(AE237:AH237)</f>
        <v>0</v>
      </c>
      <c r="AK237" s="97">
        <f>IF(C237=2016, AJ237/3,AJ237)+AI237</f>
        <v>0</v>
      </c>
      <c r="AL237" s="22"/>
      <c r="AM237" s="287"/>
      <c r="AN237" s="287"/>
      <c r="AO237" s="287"/>
      <c r="AP237" s="287">
        <f>0</f>
        <v>0</v>
      </c>
      <c r="AQ237" s="287"/>
      <c r="AR237" s="287"/>
      <c r="AS237" s="285"/>
      <c r="AT237" s="95"/>
      <c r="AU237" s="96">
        <f>SUM(AM237:AS237)</f>
        <v>0</v>
      </c>
      <c r="AV237" s="97">
        <f>IF(C237=2015, AU237/3,AU237)+AT237</f>
        <v>0</v>
      </c>
    </row>
    <row r="238" spans="1:48" x14ac:dyDescent="0.25">
      <c r="A238" s="71" t="s">
        <v>258</v>
      </c>
      <c r="B238" s="60" t="s">
        <v>64</v>
      </c>
      <c r="C238" s="72">
        <v>2014</v>
      </c>
      <c r="D238" s="1">
        <f t="shared" si="77"/>
        <v>6</v>
      </c>
      <c r="H238" s="290"/>
      <c r="M238" s="228"/>
      <c r="N238" s="267">
        <f t="shared" si="78"/>
        <v>6</v>
      </c>
      <c r="P238" s="96">
        <f t="shared" si="71"/>
        <v>6</v>
      </c>
      <c r="Q238" s="97">
        <f t="shared" si="79"/>
        <v>6</v>
      </c>
      <c r="R238" s="228"/>
      <c r="S238" s="228"/>
      <c r="T238" s="228"/>
      <c r="U238" s="228"/>
      <c r="V238" s="228"/>
      <c r="W238" s="228"/>
      <c r="X238" s="228"/>
      <c r="Y238" s="228">
        <f>AK238</f>
        <v>6</v>
      </c>
      <c r="Z238" s="120"/>
      <c r="AA238" s="96">
        <f>AM238+S238+T238+U238+V238+W238+X238+Y238</f>
        <v>6</v>
      </c>
      <c r="AB238" s="97">
        <f>IF(C238=2017, AA238/3,AA238)+Z238</f>
        <v>6</v>
      </c>
      <c r="AC238" s="290"/>
      <c r="AD238" s="290"/>
      <c r="AE238" s="228"/>
      <c r="AF238" s="228"/>
      <c r="AG238" s="228"/>
      <c r="AH238" s="228">
        <f>AV238</f>
        <v>6</v>
      </c>
      <c r="AI238" s="120"/>
      <c r="AJ238" s="96">
        <f>SUM(AE238:AH238)</f>
        <v>6</v>
      </c>
      <c r="AK238" s="97">
        <f>IF(C238=2016, AJ238/3,AJ238)+AI238</f>
        <v>6</v>
      </c>
      <c r="AL238" s="22"/>
      <c r="AM238" s="287"/>
      <c r="AN238" s="287"/>
      <c r="AO238" s="287">
        <f>6</f>
        <v>6</v>
      </c>
      <c r="AP238" s="287"/>
      <c r="AQ238" s="287"/>
      <c r="AR238" s="287"/>
      <c r="AS238" s="285"/>
      <c r="AT238" s="95"/>
      <c r="AU238" s="96">
        <f>SUM(AM238:AS238)</f>
        <v>6</v>
      </c>
      <c r="AV238" s="97">
        <f>IF(C238=2015, AU238/3,AU238)+AT238</f>
        <v>6</v>
      </c>
    </row>
    <row r="239" spans="1:48" x14ac:dyDescent="0.25">
      <c r="A239" s="71" t="s">
        <v>1109</v>
      </c>
      <c r="B239" s="71" t="s">
        <v>0</v>
      </c>
      <c r="C239" s="72">
        <v>2015</v>
      </c>
      <c r="D239" s="1">
        <f t="shared" si="77"/>
        <v>0</v>
      </c>
      <c r="E239" s="287"/>
      <c r="F239" s="287"/>
      <c r="I239" s="287"/>
      <c r="J239" s="287"/>
      <c r="K239" s="287"/>
      <c r="L239" s="287">
        <f>0</f>
        <v>0</v>
      </c>
      <c r="M239" s="287"/>
      <c r="N239" s="267">
        <f t="shared" si="78"/>
        <v>0</v>
      </c>
      <c r="P239" s="96">
        <f t="shared" si="71"/>
        <v>0</v>
      </c>
      <c r="Q239" s="97">
        <f t="shared" si="79"/>
        <v>0</v>
      </c>
      <c r="R239" s="287"/>
      <c r="S239" s="287"/>
      <c r="T239" s="287"/>
      <c r="U239" s="287"/>
      <c r="V239" s="287"/>
      <c r="W239" s="287"/>
      <c r="X239" s="287"/>
      <c r="Y239" s="246"/>
      <c r="Z239" s="152"/>
      <c r="AA239" s="96"/>
      <c r="AB239" s="97"/>
      <c r="AE239" s="287"/>
      <c r="AF239" s="287"/>
      <c r="AG239" s="287"/>
      <c r="AH239" s="287"/>
      <c r="AI239" s="120"/>
      <c r="AJ239" s="96"/>
      <c r="AK239" s="97"/>
      <c r="AL239" s="22"/>
      <c r="AM239" s="287"/>
      <c r="AN239" s="287"/>
      <c r="AO239" s="287"/>
      <c r="AP239" s="287"/>
      <c r="AQ239" s="287"/>
      <c r="AR239" s="287"/>
      <c r="AS239" s="285"/>
      <c r="AT239" s="95"/>
      <c r="AU239" s="96"/>
      <c r="AV239" s="97"/>
    </row>
    <row r="240" spans="1:48" x14ac:dyDescent="0.25">
      <c r="A240" s="71" t="s">
        <v>300</v>
      </c>
      <c r="B240" s="66" t="s">
        <v>63</v>
      </c>
      <c r="C240" s="72">
        <v>2016</v>
      </c>
      <c r="D240" s="1">
        <f t="shared" si="77"/>
        <v>6</v>
      </c>
      <c r="E240" s="154"/>
      <c r="F240" s="154"/>
      <c r="H240" s="290"/>
      <c r="I240" s="154"/>
      <c r="J240" s="154"/>
      <c r="K240" s="154"/>
      <c r="L240" s="154"/>
      <c r="M240" s="154"/>
      <c r="N240" s="267">
        <f t="shared" si="78"/>
        <v>6</v>
      </c>
      <c r="P240" s="96">
        <f t="shared" si="71"/>
        <v>6</v>
      </c>
      <c r="Q240" s="97">
        <f t="shared" si="79"/>
        <v>6</v>
      </c>
      <c r="R240" s="154"/>
      <c r="S240" s="154"/>
      <c r="T240" s="154"/>
      <c r="U240" s="154"/>
      <c r="V240" s="154"/>
      <c r="W240" s="154"/>
      <c r="X240" s="154"/>
      <c r="Y240" s="215">
        <f>AK240</f>
        <v>6</v>
      </c>
      <c r="Z240" s="122"/>
      <c r="AA240" s="96">
        <f>AM240+S240+T240+U240+V240+W240+X240+Y240</f>
        <v>6</v>
      </c>
      <c r="AB240" s="97">
        <f>IF(C240=2017, AA240/3,AA240)+Z240</f>
        <v>6</v>
      </c>
      <c r="AC240" s="290"/>
      <c r="AD240" s="290"/>
      <c r="AE240" s="108"/>
      <c r="AF240" s="108"/>
      <c r="AG240" s="108"/>
      <c r="AH240" s="108">
        <f>AV240</f>
        <v>18</v>
      </c>
      <c r="AI240" s="122"/>
      <c r="AJ240" s="96">
        <f>SUM(AE240:AH240)</f>
        <v>18</v>
      </c>
      <c r="AK240" s="97">
        <f>IF(C240=2016, AJ240/3,AJ240)+AI240</f>
        <v>6</v>
      </c>
      <c r="AL240" s="101"/>
      <c r="AM240" s="41"/>
      <c r="AN240" s="41"/>
      <c r="AO240" s="41"/>
      <c r="AP240" s="41">
        <f>18</f>
        <v>18</v>
      </c>
      <c r="AQ240" s="41"/>
      <c r="AR240" s="41"/>
      <c r="AS240" s="13"/>
      <c r="AU240" s="96">
        <f>SUM(AM240:AS240)</f>
        <v>18</v>
      </c>
      <c r="AV240" s="97">
        <f>IF(C240=2015, AU240/3,AU240)+AT240</f>
        <v>18</v>
      </c>
    </row>
    <row r="241" spans="1:48" x14ac:dyDescent="0.25">
      <c r="A241" s="71" t="s">
        <v>692</v>
      </c>
      <c r="B241" s="71" t="s">
        <v>64</v>
      </c>
      <c r="C241" s="72">
        <v>2014</v>
      </c>
      <c r="D241" s="1">
        <f t="shared" si="77"/>
        <v>6</v>
      </c>
      <c r="E241" s="287"/>
      <c r="F241" s="287"/>
      <c r="H241" s="290"/>
      <c r="I241" s="287"/>
      <c r="J241" s="287"/>
      <c r="K241" s="287"/>
      <c r="L241" s="287"/>
      <c r="M241" s="287"/>
      <c r="N241" s="267">
        <f t="shared" si="78"/>
        <v>6</v>
      </c>
      <c r="P241" s="96">
        <f t="shared" si="71"/>
        <v>6</v>
      </c>
      <c r="Q241" s="97">
        <f t="shared" si="79"/>
        <v>6</v>
      </c>
      <c r="R241" s="287"/>
      <c r="S241" s="287"/>
      <c r="T241" s="287"/>
      <c r="U241" s="287"/>
      <c r="V241" s="287">
        <f>0+6</f>
        <v>6</v>
      </c>
      <c r="W241" s="287">
        <f>0</f>
        <v>0</v>
      </c>
      <c r="X241" s="287"/>
      <c r="Y241" s="215">
        <f>AK241</f>
        <v>0</v>
      </c>
      <c r="Z241" s="152"/>
      <c r="AA241" s="96">
        <f>AM241+S241+T241+U241+V241+W241+X241+Y241</f>
        <v>6</v>
      </c>
      <c r="AB241" s="97">
        <f>IF(C241=2017, AA241/3,AA241)+Z241</f>
        <v>6</v>
      </c>
      <c r="AC241" s="290"/>
      <c r="AD241" s="290"/>
      <c r="AE241" s="287">
        <f>0</f>
        <v>0</v>
      </c>
      <c r="AF241" s="287"/>
      <c r="AG241" s="287"/>
      <c r="AH241" s="287"/>
      <c r="AI241" s="120"/>
      <c r="AJ241" s="96">
        <f>SUM(AE241:AH241)</f>
        <v>0</v>
      </c>
      <c r="AK241" s="97">
        <f>IF(C241=2016, AJ241/3,AJ241)+AI241</f>
        <v>0</v>
      </c>
      <c r="AL241" s="22"/>
      <c r="AM241" s="287"/>
      <c r="AN241" s="287"/>
      <c r="AO241" s="287"/>
      <c r="AP241" s="287"/>
      <c r="AQ241" s="287"/>
      <c r="AR241" s="287"/>
      <c r="AS241" s="285"/>
      <c r="AT241" s="95"/>
      <c r="AU241" s="96">
        <f>SUM(AM241:AS241)</f>
        <v>0</v>
      </c>
      <c r="AV241" s="97">
        <f>IF(C241=2015, AU241/3,AU241)+AT241</f>
        <v>0</v>
      </c>
    </row>
    <row r="242" spans="1:48" x14ac:dyDescent="0.25">
      <c r="A242" s="71" t="s">
        <v>1216</v>
      </c>
      <c r="B242" s="71" t="s">
        <v>834</v>
      </c>
      <c r="C242" s="72">
        <v>2015</v>
      </c>
      <c r="D242" s="1">
        <f t="shared" si="77"/>
        <v>46</v>
      </c>
      <c r="E242" s="287">
        <f>46</f>
        <v>46</v>
      </c>
      <c r="F242" s="287"/>
      <c r="I242" s="287">
        <f>0</f>
        <v>0</v>
      </c>
      <c r="J242" s="287"/>
      <c r="K242" s="287">
        <f>0</f>
        <v>0</v>
      </c>
      <c r="L242" s="287"/>
      <c r="M242" s="287"/>
      <c r="N242" s="267">
        <f t="shared" si="78"/>
        <v>0</v>
      </c>
      <c r="P242" s="96">
        <f t="shared" si="71"/>
        <v>0</v>
      </c>
      <c r="Q242" s="97">
        <f t="shared" si="79"/>
        <v>0</v>
      </c>
      <c r="R242" s="287"/>
      <c r="S242" s="287"/>
      <c r="T242" s="287"/>
      <c r="U242" s="287"/>
      <c r="V242" s="287"/>
      <c r="W242" s="287"/>
      <c r="X242" s="287"/>
      <c r="Y242" s="228"/>
      <c r="Z242" s="152"/>
      <c r="AA242" s="96"/>
      <c r="AB242" s="97"/>
      <c r="AE242" s="228"/>
      <c r="AF242" s="228"/>
      <c r="AG242" s="228"/>
      <c r="AH242" s="228"/>
      <c r="AI242" s="120"/>
      <c r="AJ242" s="96"/>
      <c r="AK242" s="97"/>
      <c r="AL242" s="22"/>
      <c r="AM242" s="287"/>
      <c r="AN242" s="287"/>
      <c r="AO242" s="287"/>
      <c r="AP242" s="287"/>
      <c r="AQ242" s="287"/>
      <c r="AR242" s="287"/>
      <c r="AS242" s="285"/>
      <c r="AT242" s="95"/>
      <c r="AU242" s="96"/>
      <c r="AV242" s="97"/>
    </row>
    <row r="243" spans="1:48" x14ac:dyDescent="0.25">
      <c r="A243" s="11" t="s">
        <v>1111</v>
      </c>
      <c r="B243" s="11" t="s">
        <v>86</v>
      </c>
      <c r="C243" s="3">
        <v>2014</v>
      </c>
      <c r="D243" s="1">
        <f t="shared" si="77"/>
        <v>0</v>
      </c>
      <c r="E243" s="108"/>
      <c r="F243" s="108"/>
      <c r="H243" s="101"/>
      <c r="I243" s="108"/>
      <c r="J243" s="108"/>
      <c r="K243" s="108"/>
      <c r="L243" s="108">
        <f>0</f>
        <v>0</v>
      </c>
      <c r="M243" s="108"/>
      <c r="N243" s="267">
        <f t="shared" si="78"/>
        <v>0</v>
      </c>
      <c r="P243" s="96">
        <f t="shared" ref="P243:P274" si="80">I243+J243+K243+L243+M243+N243</f>
        <v>0</v>
      </c>
      <c r="Q243" s="97">
        <f t="shared" si="79"/>
        <v>0</v>
      </c>
      <c r="R243" s="108"/>
      <c r="S243" s="108"/>
      <c r="T243" s="108"/>
      <c r="U243" s="101"/>
      <c r="V243" s="101"/>
      <c r="W243" s="101"/>
      <c r="X243" s="101"/>
      <c r="Y243" s="228"/>
      <c r="Z243" s="101"/>
      <c r="AA243" s="96"/>
      <c r="AB243" s="97"/>
      <c r="AC243" s="101"/>
      <c r="AD243" s="101"/>
      <c r="AE243" s="101"/>
      <c r="AF243" s="101"/>
      <c r="AG243" s="101"/>
      <c r="AH243" s="101"/>
      <c r="AI243" s="101"/>
      <c r="AJ243" s="96"/>
      <c r="AK243" s="97"/>
      <c r="AL243" s="101"/>
      <c r="AM243" s="41"/>
      <c r="AN243" s="41"/>
      <c r="AO243" s="41"/>
      <c r="AP243" s="41"/>
      <c r="AQ243" s="41"/>
      <c r="AR243" s="41"/>
      <c r="AS243" s="13"/>
    </row>
    <row r="244" spans="1:48" x14ac:dyDescent="0.25">
      <c r="A244" s="11" t="s">
        <v>1104</v>
      </c>
      <c r="B244" s="11" t="s">
        <v>86</v>
      </c>
      <c r="C244" s="3">
        <v>2014</v>
      </c>
      <c r="D244" s="1">
        <f t="shared" si="77"/>
        <v>15</v>
      </c>
      <c r="E244" s="108"/>
      <c r="F244" s="108"/>
      <c r="H244" s="101"/>
      <c r="I244" s="108"/>
      <c r="J244" s="108"/>
      <c r="K244" s="108"/>
      <c r="L244" s="108">
        <f>15</f>
        <v>15</v>
      </c>
      <c r="M244" s="108"/>
      <c r="N244" s="267">
        <f t="shared" si="78"/>
        <v>0</v>
      </c>
      <c r="P244" s="96">
        <f t="shared" si="80"/>
        <v>15</v>
      </c>
      <c r="Q244" s="97">
        <f t="shared" si="79"/>
        <v>15</v>
      </c>
      <c r="R244" s="108"/>
      <c r="S244" s="108"/>
      <c r="T244" s="108"/>
      <c r="U244" s="101"/>
      <c r="V244" s="101"/>
      <c r="W244" s="101"/>
      <c r="X244" s="101"/>
      <c r="Z244" s="101"/>
      <c r="AA244" s="96"/>
      <c r="AB244" s="97"/>
      <c r="AC244" s="101"/>
      <c r="AD244" s="101"/>
      <c r="AE244" s="101"/>
      <c r="AF244" s="101"/>
      <c r="AG244" s="101"/>
      <c r="AH244" s="101"/>
      <c r="AI244" s="101"/>
      <c r="AJ244" s="96"/>
      <c r="AK244" s="97"/>
      <c r="AL244" s="101"/>
      <c r="AM244" s="41"/>
      <c r="AN244" s="41"/>
      <c r="AO244" s="41"/>
      <c r="AP244" s="41"/>
      <c r="AQ244" s="41"/>
      <c r="AR244" s="41"/>
      <c r="AS244" s="13"/>
    </row>
    <row r="245" spans="1:48" x14ac:dyDescent="0.25">
      <c r="A245" s="71" t="s">
        <v>728</v>
      </c>
      <c r="B245" s="11" t="s">
        <v>36</v>
      </c>
      <c r="C245" s="72">
        <v>2015</v>
      </c>
      <c r="D245" s="1">
        <f t="shared" si="77"/>
        <v>34</v>
      </c>
      <c r="F245" s="278">
        <f>9</f>
        <v>9</v>
      </c>
      <c r="H245" s="290"/>
      <c r="K245" s="241">
        <v>25</v>
      </c>
      <c r="N245" s="267">
        <f t="shared" si="78"/>
        <v>0</v>
      </c>
      <c r="P245" s="96">
        <f t="shared" si="80"/>
        <v>25</v>
      </c>
      <c r="Q245" s="97">
        <f t="shared" si="79"/>
        <v>25</v>
      </c>
      <c r="V245" s="168">
        <f>0</f>
        <v>0</v>
      </c>
      <c r="Y245" s="215">
        <f>AK245</f>
        <v>0</v>
      </c>
      <c r="Z245" s="152"/>
      <c r="AA245" s="96">
        <f>AM245+S245+T245+U245+V245+W245+X245+Y245</f>
        <v>0</v>
      </c>
      <c r="AB245" s="97">
        <f>IF(C245=2017, AA245/3,AA245)+Z245</f>
        <v>0</v>
      </c>
      <c r="AC245" s="290"/>
      <c r="AD245" s="290"/>
      <c r="AI245" s="120"/>
      <c r="AJ245" s="96">
        <f>SUM(AE245:AH245)</f>
        <v>0</v>
      </c>
      <c r="AK245" s="97">
        <f>IF(C245=2016, AJ245/3,AJ245)+AI245</f>
        <v>0</v>
      </c>
      <c r="AL245" s="22"/>
      <c r="AM245" s="287"/>
      <c r="AN245" s="287"/>
      <c r="AO245" s="287"/>
      <c r="AP245" s="287"/>
      <c r="AQ245" s="287"/>
      <c r="AR245" s="287"/>
      <c r="AS245" s="285"/>
      <c r="AT245" s="95"/>
      <c r="AU245" s="96">
        <f>SUM(AM245:AS245)</f>
        <v>0</v>
      </c>
      <c r="AV245" s="97">
        <f>IF(C245=2015, AU245/3,AU245)+AT245</f>
        <v>0</v>
      </c>
    </row>
    <row r="246" spans="1:48" x14ac:dyDescent="0.25">
      <c r="A246" s="11" t="s">
        <v>549</v>
      </c>
      <c r="B246" s="60" t="s">
        <v>231</v>
      </c>
      <c r="C246" s="62">
        <v>2015</v>
      </c>
      <c r="D246" s="1">
        <f t="shared" si="77"/>
        <v>268</v>
      </c>
      <c r="E246" s="283">
        <f>72+18</f>
        <v>90</v>
      </c>
      <c r="F246" s="278">
        <f>24</f>
        <v>24</v>
      </c>
      <c r="H246" s="290"/>
      <c r="K246" s="246"/>
      <c r="L246" s="246">
        <f>45+15</f>
        <v>60</v>
      </c>
      <c r="M246" s="246">
        <f>4</f>
        <v>4</v>
      </c>
      <c r="N246" s="267">
        <f t="shared" si="78"/>
        <v>90</v>
      </c>
      <c r="P246" s="96">
        <f t="shared" si="80"/>
        <v>154</v>
      </c>
      <c r="Q246" s="97">
        <f t="shared" si="79"/>
        <v>154</v>
      </c>
      <c r="R246" s="246"/>
      <c r="S246" s="246"/>
      <c r="T246" s="246"/>
      <c r="U246" s="246"/>
      <c r="V246" s="246"/>
      <c r="W246" s="246"/>
      <c r="X246" s="246"/>
      <c r="Y246" s="246">
        <f>AK246</f>
        <v>90</v>
      </c>
      <c r="Z246" s="152"/>
      <c r="AA246" s="96">
        <f>AM246+S246+T246+U246+V246+W246+X246+Y246</f>
        <v>90</v>
      </c>
      <c r="AB246" s="97">
        <f>IF(C246=2017, AA246/3,AA246)+Z246</f>
        <v>90</v>
      </c>
      <c r="AC246" s="290"/>
      <c r="AD246" s="290"/>
      <c r="AE246" s="246"/>
      <c r="AF246" s="246">
        <f>43</f>
        <v>43</v>
      </c>
      <c r="AG246" s="246">
        <f>32</f>
        <v>32</v>
      </c>
      <c r="AH246" s="246">
        <f>15</f>
        <v>15</v>
      </c>
      <c r="AI246" s="120"/>
      <c r="AJ246" s="96">
        <f>SUM(AE246:AH246)</f>
        <v>90</v>
      </c>
      <c r="AK246" s="97">
        <f>IF(C246=2016, AJ246/3,AJ246)+AI246</f>
        <v>90</v>
      </c>
      <c r="AL246" s="22"/>
      <c r="AM246" s="246"/>
      <c r="AN246" s="246"/>
      <c r="AO246" s="246"/>
      <c r="AP246" s="246"/>
      <c r="AQ246" s="246"/>
      <c r="AR246" s="246"/>
      <c r="AS246" s="245"/>
      <c r="AT246" s="95"/>
      <c r="AU246" s="96">
        <f>SUM(AM246:AS246)</f>
        <v>0</v>
      </c>
      <c r="AV246" s="97">
        <f>IF(C246=2015, AU246/3,AU246)+AT246</f>
        <v>0</v>
      </c>
    </row>
    <row r="247" spans="1:48" x14ac:dyDescent="0.25">
      <c r="A247" s="71" t="s">
        <v>1027</v>
      </c>
      <c r="B247" s="71" t="s">
        <v>86</v>
      </c>
      <c r="C247" s="72">
        <v>2014</v>
      </c>
      <c r="D247" s="1">
        <f t="shared" si="77"/>
        <v>33</v>
      </c>
      <c r="N247" s="267">
        <f t="shared" si="78"/>
        <v>33</v>
      </c>
      <c r="P247" s="96">
        <f t="shared" si="80"/>
        <v>33</v>
      </c>
      <c r="Q247" s="97">
        <f t="shared" si="79"/>
        <v>33</v>
      </c>
      <c r="S247" s="201">
        <f>33</f>
        <v>33</v>
      </c>
      <c r="Y247" s="215">
        <f>AK247</f>
        <v>0</v>
      </c>
      <c r="Z247" s="152"/>
      <c r="AA247" s="96">
        <f>AM247+S247+T247+U247+V247+W247+X247+Y247</f>
        <v>33</v>
      </c>
      <c r="AB247" s="97">
        <f>IF(C247=2017, AA247/3,AA247)+Z247</f>
        <v>33</v>
      </c>
      <c r="AI247" s="120"/>
      <c r="AJ247" s="96">
        <f>SUM(AE247:AH247)</f>
        <v>0</v>
      </c>
      <c r="AK247" s="97">
        <f>IF(C247=2016, AJ247/3,AJ247)+AI247</f>
        <v>0</v>
      </c>
      <c r="AL247" s="22"/>
      <c r="AT247" s="95"/>
      <c r="AU247" s="96"/>
      <c r="AV247" s="97"/>
    </row>
    <row r="248" spans="1:48" x14ac:dyDescent="0.25">
      <c r="A248" s="11" t="s">
        <v>414</v>
      </c>
      <c r="B248" s="60" t="s">
        <v>63</v>
      </c>
      <c r="C248" s="62">
        <v>2014</v>
      </c>
      <c r="D248" s="1">
        <f t="shared" si="77"/>
        <v>0</v>
      </c>
      <c r="H248" s="290"/>
      <c r="N248" s="267">
        <f t="shared" si="78"/>
        <v>0</v>
      </c>
      <c r="P248" s="96">
        <f t="shared" si="80"/>
        <v>0</v>
      </c>
      <c r="Q248" s="97">
        <f t="shared" si="79"/>
        <v>0</v>
      </c>
      <c r="Y248" s="215">
        <f>AK248</f>
        <v>0</v>
      </c>
      <c r="Z248" s="120"/>
      <c r="AA248" s="96">
        <f>AM248+S248+T248+U248+V248+W248+X248+Y248</f>
        <v>0</v>
      </c>
      <c r="AB248" s="97">
        <f>IF(C248=2017, AA248/3,AA248)+Z248</f>
        <v>0</v>
      </c>
      <c r="AC248" s="290"/>
      <c r="AD248" s="290"/>
      <c r="AH248" s="50">
        <f>AV248</f>
        <v>0</v>
      </c>
      <c r="AI248" s="120"/>
      <c r="AJ248" s="96">
        <f>SUM(AE248:AH248)</f>
        <v>0</v>
      </c>
      <c r="AK248" s="97">
        <f>IF(C248=2016, AJ248/3,AJ248)+AI248</f>
        <v>0</v>
      </c>
      <c r="AL248" s="22"/>
      <c r="AQ248" s="50">
        <f>0</f>
        <v>0</v>
      </c>
      <c r="AT248" s="95"/>
      <c r="AU248" s="96">
        <f>SUM(AM248:AS248)</f>
        <v>0</v>
      </c>
      <c r="AV248" s="97">
        <f>IF(C248=2015, AU248/3,AU248)+AT248</f>
        <v>0</v>
      </c>
    </row>
    <row r="249" spans="1:48" x14ac:dyDescent="0.25">
      <c r="A249" s="71" t="s">
        <v>1023</v>
      </c>
      <c r="B249" s="71" t="s">
        <v>86</v>
      </c>
      <c r="C249" s="72">
        <v>2016</v>
      </c>
      <c r="D249" s="1">
        <f t="shared" si="77"/>
        <v>62</v>
      </c>
      <c r="K249" s="246"/>
      <c r="L249" s="246">
        <f>8</f>
        <v>8</v>
      </c>
      <c r="M249" s="246"/>
      <c r="N249" s="267">
        <f t="shared" si="78"/>
        <v>54</v>
      </c>
      <c r="P249" s="96">
        <f t="shared" si="80"/>
        <v>62</v>
      </c>
      <c r="Q249" s="97">
        <f t="shared" si="79"/>
        <v>62</v>
      </c>
      <c r="R249" s="246"/>
      <c r="S249" s="246">
        <f>54</f>
        <v>54</v>
      </c>
      <c r="T249" s="246"/>
      <c r="U249" s="246"/>
      <c r="V249" s="246"/>
      <c r="W249" s="246"/>
      <c r="X249" s="246"/>
      <c r="Y249" s="246">
        <f>AK249</f>
        <v>0</v>
      </c>
      <c r="Z249" s="152"/>
      <c r="AA249" s="96">
        <f>AM249+S249+T249+U249+V249+W249+X249+Y249</f>
        <v>54</v>
      </c>
      <c r="AB249" s="97">
        <f>IF(C249=2017, AA249/3,AA249)+Z249</f>
        <v>54</v>
      </c>
      <c r="AE249" s="246"/>
      <c r="AF249" s="246"/>
      <c r="AG249" s="246"/>
      <c r="AH249" s="246"/>
      <c r="AI249" s="120"/>
      <c r="AJ249" s="96">
        <f>SUM(AE249:AH249)</f>
        <v>0</v>
      </c>
      <c r="AK249" s="97">
        <f>IF(C249=2016, AJ249/3,AJ249)+AI249</f>
        <v>0</v>
      </c>
      <c r="AL249" s="22"/>
      <c r="AM249" s="246"/>
      <c r="AN249" s="246"/>
      <c r="AO249" s="246"/>
      <c r="AP249" s="246"/>
      <c r="AQ249" s="246"/>
      <c r="AR249" s="246"/>
      <c r="AS249" s="245"/>
      <c r="AT249" s="95"/>
      <c r="AU249" s="96"/>
      <c r="AV249" s="97"/>
    </row>
    <row r="250" spans="1:48" x14ac:dyDescent="0.25">
      <c r="A250" s="11" t="s">
        <v>1221</v>
      </c>
      <c r="B250" s="11" t="s">
        <v>1222</v>
      </c>
      <c r="D250" s="1">
        <f t="shared" si="77"/>
        <v>22</v>
      </c>
      <c r="K250" s="241">
        <f>22</f>
        <v>22</v>
      </c>
      <c r="L250" s="241"/>
      <c r="M250" s="241"/>
      <c r="N250" s="267">
        <f t="shared" si="78"/>
        <v>0</v>
      </c>
      <c r="P250" s="96">
        <f t="shared" si="80"/>
        <v>22</v>
      </c>
      <c r="Q250" s="97">
        <f t="shared" si="79"/>
        <v>22</v>
      </c>
      <c r="R250" s="241"/>
      <c r="S250" s="241"/>
      <c r="T250" s="241"/>
      <c r="U250" s="241"/>
      <c r="V250" s="241"/>
      <c r="W250" s="241"/>
      <c r="X250" s="241"/>
      <c r="Y250" s="241"/>
      <c r="Z250" s="287"/>
      <c r="AE250" s="241"/>
      <c r="AF250" s="241"/>
      <c r="AG250" s="241"/>
      <c r="AH250" s="241"/>
      <c r="AI250" s="287"/>
      <c r="AL250" s="285"/>
      <c r="AM250" s="287"/>
      <c r="AN250" s="287"/>
      <c r="AO250" s="287"/>
      <c r="AP250" s="287"/>
      <c r="AQ250" s="287"/>
      <c r="AR250" s="287"/>
      <c r="AS250" s="285"/>
    </row>
    <row r="251" spans="1:48" x14ac:dyDescent="0.25">
      <c r="A251" s="11" t="s">
        <v>615</v>
      </c>
      <c r="B251" s="60" t="s">
        <v>296</v>
      </c>
      <c r="C251" s="62"/>
      <c r="D251" s="1">
        <f t="shared" si="77"/>
        <v>6</v>
      </c>
      <c r="H251" s="280"/>
      <c r="L251" s="241"/>
      <c r="M251" s="241"/>
      <c r="N251" s="267">
        <f t="shared" si="78"/>
        <v>6</v>
      </c>
      <c r="P251" s="96">
        <f t="shared" si="80"/>
        <v>6</v>
      </c>
      <c r="Q251" s="97">
        <f t="shared" si="79"/>
        <v>6</v>
      </c>
      <c r="R251" s="241"/>
      <c r="S251" s="241"/>
      <c r="T251" s="241"/>
      <c r="U251" s="241"/>
      <c r="V251" s="241"/>
      <c r="W251" s="241"/>
      <c r="X251" s="241"/>
      <c r="Y251" s="241">
        <f>AK251</f>
        <v>6</v>
      </c>
      <c r="Z251" s="152"/>
      <c r="AA251" s="96">
        <f>AM251+S251+T251+U251+V251+W251+X251+Y251</f>
        <v>6</v>
      </c>
      <c r="AB251" s="97">
        <f>IF(C251=2017, AA251/3,AA251)+Z251</f>
        <v>6</v>
      </c>
      <c r="AC251" s="243"/>
      <c r="AD251" s="243"/>
      <c r="AE251" s="241"/>
      <c r="AF251" s="241">
        <f>6</f>
        <v>6</v>
      </c>
      <c r="AG251" s="241"/>
      <c r="AH251" s="241"/>
      <c r="AI251" s="120"/>
      <c r="AJ251" s="96">
        <f>SUM(AE251:AH251)</f>
        <v>6</v>
      </c>
      <c r="AK251" s="97">
        <f>IF(C251=2016, AJ251/3,AJ251)+AI251</f>
        <v>6</v>
      </c>
      <c r="AL251" s="22"/>
      <c r="AM251" s="287"/>
      <c r="AN251" s="287"/>
      <c r="AO251" s="287"/>
      <c r="AP251" s="287"/>
      <c r="AQ251" s="287"/>
      <c r="AR251" s="287"/>
      <c r="AS251" s="285"/>
      <c r="AT251" s="95"/>
      <c r="AU251" s="96">
        <f>SUM(AM251:AS251)</f>
        <v>0</v>
      </c>
      <c r="AV251" s="97">
        <f>IF(C251=2015, AU251/3,AU251)+AT251</f>
        <v>0</v>
      </c>
    </row>
    <row r="252" spans="1:48" x14ac:dyDescent="0.25">
      <c r="A252" s="71" t="s">
        <v>429</v>
      </c>
      <c r="B252" s="11" t="s">
        <v>404</v>
      </c>
      <c r="C252" s="3">
        <v>2016</v>
      </c>
      <c r="D252" s="1">
        <f t="shared" si="77"/>
        <v>0</v>
      </c>
      <c r="E252" s="154"/>
      <c r="F252" s="154"/>
      <c r="H252" s="290"/>
      <c r="I252" s="154"/>
      <c r="J252" s="154"/>
      <c r="K252" s="154"/>
      <c r="L252" s="154"/>
      <c r="M252" s="154"/>
      <c r="N252" s="267">
        <f t="shared" si="78"/>
        <v>0</v>
      </c>
      <c r="P252" s="96">
        <f t="shared" si="80"/>
        <v>0</v>
      </c>
      <c r="Q252" s="97">
        <f t="shared" si="79"/>
        <v>0</v>
      </c>
      <c r="R252" s="154"/>
      <c r="S252" s="154"/>
      <c r="T252" s="154"/>
      <c r="U252" s="154"/>
      <c r="V252" s="154"/>
      <c r="W252" s="154"/>
      <c r="X252" s="154"/>
      <c r="Y252" s="241">
        <f>AK252</f>
        <v>0</v>
      </c>
      <c r="Z252" s="122"/>
      <c r="AA252" s="96">
        <f>AM252+S252+T252+U252+V252+W252+X252+Y252</f>
        <v>0</v>
      </c>
      <c r="AB252" s="97">
        <f>IF(C252=2017, AA252/3,AA252)+Z252</f>
        <v>0</v>
      </c>
      <c r="AC252" s="290"/>
      <c r="AD252" s="290"/>
      <c r="AE252" s="108"/>
      <c r="AF252" s="108"/>
      <c r="AG252" s="108"/>
      <c r="AH252" s="108">
        <f>AV252</f>
        <v>0</v>
      </c>
      <c r="AI252" s="122"/>
      <c r="AJ252" s="96">
        <f>SUM(AE252:AH252)</f>
        <v>0</v>
      </c>
      <c r="AK252" s="97">
        <f>IF(C252=2016, AJ252/3,AJ252)+AI252</f>
        <v>0</v>
      </c>
      <c r="AL252" s="101"/>
      <c r="AM252" s="41"/>
      <c r="AN252" s="41"/>
      <c r="AO252" s="41"/>
      <c r="AP252" s="41"/>
      <c r="AQ252" s="41">
        <v>0</v>
      </c>
      <c r="AR252" s="41"/>
      <c r="AS252" s="13"/>
      <c r="AU252" s="96">
        <f>SUM(AM252:AS252)</f>
        <v>0</v>
      </c>
      <c r="AV252" s="97">
        <f>IF(C252=2015, AU252/3,AU252)+AT252</f>
        <v>0</v>
      </c>
    </row>
    <row r="253" spans="1:48" x14ac:dyDescent="0.25">
      <c r="A253" s="11" t="s">
        <v>949</v>
      </c>
      <c r="B253" s="60" t="s">
        <v>0</v>
      </c>
      <c r="C253" s="62">
        <v>2014</v>
      </c>
      <c r="D253" s="1">
        <f t="shared" si="77"/>
        <v>115</v>
      </c>
      <c r="E253" s="283">
        <f>30</f>
        <v>30</v>
      </c>
      <c r="J253" s="246">
        <f>0+15</f>
        <v>15</v>
      </c>
      <c r="K253" s="241">
        <f>18+7</f>
        <v>25</v>
      </c>
      <c r="L253" s="228">
        <f>15</f>
        <v>15</v>
      </c>
      <c r="M253" s="228"/>
      <c r="N253" s="267">
        <f t="shared" si="78"/>
        <v>30</v>
      </c>
      <c r="P253" s="96">
        <f t="shared" si="80"/>
        <v>85</v>
      </c>
      <c r="Q253" s="97">
        <f t="shared" si="79"/>
        <v>85</v>
      </c>
      <c r="R253" s="228"/>
      <c r="S253" s="228">
        <f>21</f>
        <v>21</v>
      </c>
      <c r="T253" s="228">
        <f>9</f>
        <v>9</v>
      </c>
      <c r="U253" s="228"/>
      <c r="V253" s="228"/>
      <c r="W253" s="228"/>
      <c r="X253" s="228"/>
      <c r="Y253" s="228">
        <f>AK253</f>
        <v>0</v>
      </c>
      <c r="Z253" s="152"/>
      <c r="AA253" s="96">
        <f>AM253+S253+T253+U253+V253+W253+X253+Y253</f>
        <v>30</v>
      </c>
      <c r="AB253" s="97">
        <f>IF(C253=2017, AA253/3,AA253)+Z253</f>
        <v>30</v>
      </c>
      <c r="AE253" s="228"/>
      <c r="AF253" s="228"/>
      <c r="AG253" s="228"/>
      <c r="AH253" s="228"/>
      <c r="AI253" s="120"/>
      <c r="AJ253" s="96">
        <f>SUM(AE253:AH253)</f>
        <v>0</v>
      </c>
      <c r="AK253" s="97">
        <f>IF(C253=2016, AJ253/3,AJ253)+AI253</f>
        <v>0</v>
      </c>
      <c r="AL253" s="22"/>
      <c r="AM253" s="287"/>
      <c r="AN253" s="287"/>
      <c r="AO253" s="287"/>
      <c r="AP253" s="287"/>
      <c r="AQ253" s="287"/>
      <c r="AR253" s="287"/>
      <c r="AS253" s="285"/>
      <c r="AT253" s="95"/>
      <c r="AU253" s="96"/>
      <c r="AV253" s="97"/>
    </row>
    <row r="254" spans="1:48" x14ac:dyDescent="0.25">
      <c r="A254" s="45" t="s">
        <v>65</v>
      </c>
      <c r="B254" s="11" t="s">
        <v>0</v>
      </c>
      <c r="C254" s="46">
        <v>2017</v>
      </c>
      <c r="D254" s="1">
        <f t="shared" si="77"/>
        <v>184</v>
      </c>
      <c r="E254" s="108">
        <f>34</f>
        <v>34</v>
      </c>
      <c r="F254" s="108"/>
      <c r="H254" s="101"/>
      <c r="I254" s="108">
        <f>30</f>
        <v>30</v>
      </c>
      <c r="J254" s="108">
        <f>0+2</f>
        <v>2</v>
      </c>
      <c r="K254" s="108">
        <f>27+4</f>
        <v>31</v>
      </c>
      <c r="L254" s="108">
        <f>22+12</f>
        <v>34</v>
      </c>
      <c r="M254" s="108"/>
      <c r="N254" s="267">
        <f t="shared" si="78"/>
        <v>53</v>
      </c>
      <c r="P254" s="96">
        <f t="shared" si="80"/>
        <v>150</v>
      </c>
      <c r="Q254" s="97">
        <f t="shared" si="79"/>
        <v>150</v>
      </c>
      <c r="R254" s="108"/>
      <c r="S254" s="108">
        <f>3+3</f>
        <v>6</v>
      </c>
      <c r="T254" s="108">
        <f>9</f>
        <v>9</v>
      </c>
      <c r="U254" s="108">
        <f>9+3</f>
        <v>12</v>
      </c>
      <c r="V254" s="108">
        <f>6+3</f>
        <v>9</v>
      </c>
      <c r="W254" s="108">
        <f>18</f>
        <v>18</v>
      </c>
      <c r="X254" s="108">
        <v>9</v>
      </c>
      <c r="Y254" s="215">
        <f>AK254</f>
        <v>96</v>
      </c>
      <c r="Z254" s="122"/>
      <c r="AA254" s="96">
        <f>AM254+S254+T254+U254+V254+W254+X254+Y254</f>
        <v>159</v>
      </c>
      <c r="AB254" s="97">
        <f>IF(C254=2017, AA254/3,AA254)+Z254</f>
        <v>53</v>
      </c>
      <c r="AC254" s="101"/>
      <c r="AD254" s="108"/>
      <c r="AE254" s="108">
        <f>30</f>
        <v>30</v>
      </c>
      <c r="AF254" s="108">
        <f>24</f>
        <v>24</v>
      </c>
      <c r="AG254" s="108"/>
      <c r="AH254" s="108">
        <f>AV254</f>
        <v>42</v>
      </c>
      <c r="AI254" s="122"/>
      <c r="AJ254" s="96">
        <f>SUM(AE254:AH254)</f>
        <v>96</v>
      </c>
      <c r="AK254" s="97">
        <f>IF(C254=2016, AJ254/3,AJ254)+AI254</f>
        <v>96</v>
      </c>
      <c r="AL254" s="101"/>
      <c r="AM254" s="41">
        <f>0</f>
        <v>0</v>
      </c>
      <c r="AN254" s="41"/>
      <c r="AO254" s="41">
        <f>6</f>
        <v>6</v>
      </c>
      <c r="AP254" s="41">
        <f>12</f>
        <v>12</v>
      </c>
      <c r="AQ254" s="41">
        <f>12</f>
        <v>12</v>
      </c>
      <c r="AR254" s="41">
        <f>12</f>
        <v>12</v>
      </c>
      <c r="AS254" s="13">
        <v>0</v>
      </c>
      <c r="AU254" s="3">
        <f>SUM(AM254:AT254)</f>
        <v>42</v>
      </c>
      <c r="AV254" s="3">
        <f>AU254</f>
        <v>42</v>
      </c>
    </row>
    <row r="255" spans="1:48" x14ac:dyDescent="0.25">
      <c r="A255" s="45" t="s">
        <v>431</v>
      </c>
      <c r="B255" s="66" t="s">
        <v>7</v>
      </c>
      <c r="C255" s="46">
        <v>2016</v>
      </c>
      <c r="D255" s="1">
        <f t="shared" si="77"/>
        <v>0</v>
      </c>
      <c r="E255" s="154"/>
      <c r="F255" s="154"/>
      <c r="H255" s="290"/>
      <c r="I255" s="154"/>
      <c r="J255" s="154"/>
      <c r="K255" s="154"/>
      <c r="L255" s="154"/>
      <c r="M255" s="154"/>
      <c r="N255" s="267">
        <f t="shared" si="78"/>
        <v>0</v>
      </c>
      <c r="P255" s="96">
        <f t="shared" si="80"/>
        <v>0</v>
      </c>
      <c r="Q255" s="97">
        <f t="shared" si="79"/>
        <v>0</v>
      </c>
      <c r="R255" s="154"/>
      <c r="S255" s="154"/>
      <c r="T255" s="154"/>
      <c r="U255" s="154"/>
      <c r="V255" s="154"/>
      <c r="W255" s="154"/>
      <c r="X255" s="154"/>
      <c r="Y255" s="215">
        <f>AK255</f>
        <v>0</v>
      </c>
      <c r="Z255" s="122"/>
      <c r="AA255" s="96">
        <f>AM255+S255+T255+U255+V255+W255+X255+Y255</f>
        <v>0</v>
      </c>
      <c r="AB255" s="97">
        <f>IF(C255=2017, AA255/3,AA255)+Z255</f>
        <v>0</v>
      </c>
      <c r="AC255" s="290"/>
      <c r="AD255" s="290"/>
      <c r="AE255" s="108"/>
      <c r="AF255" s="108"/>
      <c r="AG255" s="108"/>
      <c r="AH255" s="108">
        <f>AV255</f>
        <v>0</v>
      </c>
      <c r="AI255" s="122"/>
      <c r="AJ255" s="96">
        <f>SUM(AE255:AH255)</f>
        <v>0</v>
      </c>
      <c r="AK255" s="97">
        <f>IF(C255=2016, AJ255/3,AJ255)+AI255</f>
        <v>0</v>
      </c>
      <c r="AL255" s="101"/>
      <c r="AM255" s="41"/>
      <c r="AN255" s="41"/>
      <c r="AO255" s="41"/>
      <c r="AP255" s="41"/>
      <c r="AQ255" s="41">
        <f>0</f>
        <v>0</v>
      </c>
      <c r="AR255" s="41"/>
      <c r="AS255" s="13"/>
      <c r="AU255" s="96">
        <f>SUM(AM255:AS255)</f>
        <v>0</v>
      </c>
      <c r="AV255" s="97">
        <f>IF(C255=2015, AU255/3,AU255)+AT255</f>
        <v>0</v>
      </c>
    </row>
    <row r="256" spans="1:48" x14ac:dyDescent="0.25">
      <c r="A256" s="11" t="s">
        <v>1132</v>
      </c>
      <c r="B256" s="60" t="s">
        <v>86</v>
      </c>
      <c r="C256" s="62">
        <v>2016</v>
      </c>
      <c r="D256" s="1">
        <f t="shared" si="77"/>
        <v>9</v>
      </c>
      <c r="J256" s="261"/>
      <c r="K256" s="261"/>
      <c r="L256" s="261">
        <f>9</f>
        <v>9</v>
      </c>
      <c r="M256" s="261"/>
      <c r="N256" s="267">
        <f t="shared" si="78"/>
        <v>0</v>
      </c>
      <c r="P256" s="96">
        <f t="shared" si="80"/>
        <v>9</v>
      </c>
      <c r="Q256" s="97">
        <f t="shared" si="79"/>
        <v>9</v>
      </c>
      <c r="R256" s="261"/>
      <c r="S256" s="261"/>
      <c r="T256" s="261"/>
      <c r="U256" s="261"/>
      <c r="V256" s="261"/>
      <c r="W256" s="261"/>
      <c r="X256" s="261"/>
      <c r="Z256" s="152"/>
      <c r="AA256" s="96"/>
      <c r="AB256" s="97"/>
      <c r="AE256" s="261"/>
      <c r="AF256" s="261"/>
      <c r="AG256" s="261"/>
      <c r="AH256" s="261"/>
      <c r="AI256" s="120"/>
      <c r="AJ256" s="96"/>
      <c r="AK256" s="97"/>
      <c r="AL256" s="22"/>
      <c r="AM256" s="261"/>
      <c r="AN256" s="261"/>
      <c r="AO256" s="261"/>
      <c r="AP256" s="261"/>
      <c r="AQ256" s="261"/>
      <c r="AR256" s="261"/>
      <c r="AS256" s="259"/>
      <c r="AT256" s="95"/>
      <c r="AU256" s="96"/>
      <c r="AV256" s="97"/>
    </row>
    <row r="257" spans="1:48" x14ac:dyDescent="0.25">
      <c r="A257" s="45" t="s">
        <v>72</v>
      </c>
      <c r="B257" s="66" t="s">
        <v>64</v>
      </c>
      <c r="C257" s="46">
        <v>2015</v>
      </c>
      <c r="D257" s="1">
        <f t="shared" si="77"/>
        <v>0</v>
      </c>
      <c r="H257" s="290"/>
      <c r="N257" s="267">
        <f t="shared" si="78"/>
        <v>0</v>
      </c>
      <c r="P257" s="96">
        <f t="shared" si="80"/>
        <v>0</v>
      </c>
      <c r="Q257" s="97">
        <f t="shared" si="79"/>
        <v>0</v>
      </c>
      <c r="Y257" s="215">
        <f>AK257</f>
        <v>0</v>
      </c>
      <c r="Z257" s="120"/>
      <c r="AA257" s="96">
        <f>AM257+S257+T257+U257+V257+W257+X257+Y257</f>
        <v>0</v>
      </c>
      <c r="AB257" s="97">
        <f>IF(C257=2017, AA257/3,AA257)+Z257</f>
        <v>0</v>
      </c>
      <c r="AC257" s="290"/>
      <c r="AD257" s="290"/>
      <c r="AH257" s="50">
        <f>AV257</f>
        <v>0</v>
      </c>
      <c r="AI257" s="120"/>
      <c r="AJ257" s="96">
        <f>SUM(AE257:AH257)</f>
        <v>0</v>
      </c>
      <c r="AK257" s="97">
        <f>IF(C257=2016, AJ257/3,AJ257)+AI257</f>
        <v>0</v>
      </c>
      <c r="AL257" s="101"/>
      <c r="AM257" s="41"/>
      <c r="AN257" s="41">
        <v>0</v>
      </c>
      <c r="AO257" s="41"/>
      <c r="AP257" s="41"/>
      <c r="AQ257" s="41"/>
      <c r="AR257" s="41"/>
      <c r="AS257" s="13"/>
      <c r="AT257" s="95"/>
      <c r="AU257" s="96">
        <f>SUM(AM257:AS257)</f>
        <v>0</v>
      </c>
      <c r="AV257" s="97">
        <f>IF(C257=2015, AU257/3,AU257)+AT257</f>
        <v>0</v>
      </c>
    </row>
    <row r="258" spans="1:48" x14ac:dyDescent="0.25">
      <c r="A258" s="11" t="s">
        <v>1121</v>
      </c>
      <c r="B258" s="11" t="s">
        <v>1088</v>
      </c>
      <c r="C258" s="3">
        <v>2014</v>
      </c>
      <c r="D258" s="1">
        <f t="shared" si="77"/>
        <v>15</v>
      </c>
      <c r="L258" s="228">
        <f>15</f>
        <v>15</v>
      </c>
      <c r="M258" s="228"/>
      <c r="N258" s="267">
        <f t="shared" si="78"/>
        <v>0</v>
      </c>
      <c r="P258" s="96">
        <f t="shared" si="80"/>
        <v>15</v>
      </c>
      <c r="Q258" s="97">
        <f t="shared" si="79"/>
        <v>15</v>
      </c>
      <c r="R258" s="228"/>
      <c r="S258" s="228"/>
      <c r="T258" s="228"/>
      <c r="U258" s="228"/>
      <c r="V258" s="228"/>
      <c r="W258" s="228"/>
      <c r="X258" s="228"/>
      <c r="Y258" s="228"/>
      <c r="Z258" s="241"/>
      <c r="AE258" s="228"/>
      <c r="AF258" s="228"/>
      <c r="AG258" s="228"/>
      <c r="AH258" s="228"/>
      <c r="AI258" s="241"/>
      <c r="AL258" s="240"/>
      <c r="AM258" s="228"/>
      <c r="AN258" s="228"/>
      <c r="AO258" s="228"/>
      <c r="AP258" s="228"/>
      <c r="AQ258" s="228"/>
      <c r="AR258" s="228"/>
    </row>
    <row r="259" spans="1:48" x14ac:dyDescent="0.25">
      <c r="A259" s="11" t="s">
        <v>1232</v>
      </c>
      <c r="B259" s="11" t="s">
        <v>404</v>
      </c>
      <c r="D259" s="1">
        <f t="shared" si="77"/>
        <v>0</v>
      </c>
      <c r="E259" s="287"/>
      <c r="F259" s="287"/>
      <c r="I259" s="287"/>
      <c r="J259" s="287"/>
      <c r="K259" s="287">
        <f>0</f>
        <v>0</v>
      </c>
      <c r="L259" s="287"/>
      <c r="M259" s="287"/>
      <c r="N259" s="267">
        <f t="shared" si="78"/>
        <v>0</v>
      </c>
      <c r="P259" s="96">
        <f t="shared" si="80"/>
        <v>0</v>
      </c>
      <c r="Q259" s="97">
        <f t="shared" si="79"/>
        <v>0</v>
      </c>
      <c r="R259" s="287"/>
      <c r="S259" s="287"/>
      <c r="T259" s="287"/>
      <c r="U259" s="287"/>
      <c r="V259" s="287"/>
      <c r="W259" s="287"/>
      <c r="X259" s="287"/>
      <c r="Z259" s="287"/>
      <c r="AE259" s="287"/>
      <c r="AF259" s="287"/>
      <c r="AG259" s="287"/>
      <c r="AH259" s="287"/>
      <c r="AI259" s="287"/>
      <c r="AL259" s="285"/>
      <c r="AM259" s="287"/>
      <c r="AN259" s="287"/>
      <c r="AO259" s="287"/>
      <c r="AP259" s="287"/>
      <c r="AQ259" s="287"/>
      <c r="AR259" s="287"/>
      <c r="AS259" s="285"/>
    </row>
    <row r="260" spans="1:48" x14ac:dyDescent="0.25">
      <c r="A260" s="11" t="s">
        <v>880</v>
      </c>
      <c r="B260" s="11" t="s">
        <v>404</v>
      </c>
      <c r="D260" s="1">
        <f t="shared" si="77"/>
        <v>9</v>
      </c>
      <c r="J260" s="261">
        <f>0</f>
        <v>0</v>
      </c>
      <c r="K260" s="261">
        <f>9</f>
        <v>9</v>
      </c>
      <c r="L260" s="261"/>
      <c r="M260" s="261"/>
      <c r="N260" s="267">
        <f t="shared" si="78"/>
        <v>0</v>
      </c>
      <c r="P260" s="96">
        <f t="shared" si="80"/>
        <v>9</v>
      </c>
      <c r="Q260" s="97">
        <f t="shared" si="79"/>
        <v>9</v>
      </c>
      <c r="R260" s="261"/>
      <c r="S260" s="261"/>
      <c r="T260" s="261"/>
      <c r="U260" s="261"/>
      <c r="V260" s="261"/>
      <c r="W260" s="261"/>
      <c r="X260" s="261"/>
      <c r="Z260" s="287"/>
      <c r="AE260" s="261"/>
      <c r="AF260" s="261"/>
      <c r="AG260" s="261"/>
      <c r="AH260" s="261"/>
      <c r="AI260" s="287"/>
      <c r="AL260" s="285"/>
      <c r="AM260" s="287"/>
      <c r="AN260" s="287"/>
      <c r="AO260" s="287"/>
      <c r="AP260" s="287"/>
      <c r="AQ260" s="287"/>
      <c r="AR260" s="287"/>
      <c r="AS260" s="285"/>
    </row>
    <row r="261" spans="1:48" x14ac:dyDescent="0.25">
      <c r="A261" s="11" t="s">
        <v>839</v>
      </c>
      <c r="B261" s="60" t="s">
        <v>63</v>
      </c>
      <c r="C261" s="62">
        <v>2016</v>
      </c>
      <c r="D261" s="1">
        <f t="shared" si="77"/>
        <v>0</v>
      </c>
      <c r="J261" s="261"/>
      <c r="K261" s="261"/>
      <c r="L261" s="261"/>
      <c r="M261" s="261"/>
      <c r="N261" s="267">
        <f t="shared" si="78"/>
        <v>0</v>
      </c>
      <c r="P261" s="96">
        <f t="shared" si="80"/>
        <v>0</v>
      </c>
      <c r="Q261" s="97">
        <f t="shared" si="79"/>
        <v>0</v>
      </c>
      <c r="R261" s="261"/>
      <c r="S261" s="261"/>
      <c r="T261" s="261"/>
      <c r="U261" s="261"/>
      <c r="V261" s="261"/>
      <c r="W261" s="261">
        <f>0</f>
        <v>0</v>
      </c>
      <c r="X261" s="261"/>
      <c r="Y261" s="228">
        <f t="shared" ref="Y261:Y266" si="81">AK261</f>
        <v>0</v>
      </c>
      <c r="Z261" s="152"/>
      <c r="AA261" s="96">
        <f t="shared" ref="AA261:AA266" si="82">AM261+S261+T261+U261+V261+W261+X261+Y261</f>
        <v>0</v>
      </c>
      <c r="AB261" s="97">
        <f t="shared" ref="AB261:AB266" si="83">IF(C261=2017, AA261/3,AA261)+Z261</f>
        <v>0</v>
      </c>
      <c r="AE261" s="228"/>
      <c r="AF261" s="228"/>
      <c r="AG261" s="228"/>
      <c r="AH261" s="228"/>
      <c r="AI261" s="120"/>
      <c r="AJ261" s="96">
        <f t="shared" ref="AJ261:AJ266" si="84">SUM(AE261:AH261)</f>
        <v>0</v>
      </c>
      <c r="AK261" s="97">
        <f t="shared" ref="AK261:AK266" si="85">IF(C261=2016, AJ261/3,AJ261)+AI261</f>
        <v>0</v>
      </c>
      <c r="AL261" s="22"/>
      <c r="AM261" s="261"/>
      <c r="AN261" s="261"/>
      <c r="AO261" s="261"/>
      <c r="AP261" s="261"/>
      <c r="AQ261" s="261"/>
      <c r="AR261" s="261"/>
      <c r="AS261" s="259"/>
      <c r="AT261" s="95"/>
      <c r="AU261" s="96"/>
      <c r="AV261" s="97"/>
    </row>
    <row r="262" spans="1:48" x14ac:dyDescent="0.25">
      <c r="A262" s="11" t="s">
        <v>990</v>
      </c>
      <c r="B262" s="60" t="s">
        <v>86</v>
      </c>
      <c r="C262" s="62">
        <v>2015</v>
      </c>
      <c r="D262" s="1">
        <f t="shared" si="77"/>
        <v>87</v>
      </c>
      <c r="L262" s="228">
        <f>35+12</f>
        <v>47</v>
      </c>
      <c r="M262" s="228"/>
      <c r="N262" s="267">
        <f t="shared" si="78"/>
        <v>40</v>
      </c>
      <c r="P262" s="96">
        <f t="shared" si="80"/>
        <v>87</v>
      </c>
      <c r="Q262" s="97">
        <f t="shared" si="79"/>
        <v>87</v>
      </c>
      <c r="R262" s="228"/>
      <c r="S262" s="228">
        <f>31+9</f>
        <v>40</v>
      </c>
      <c r="T262" s="228"/>
      <c r="U262" s="228"/>
      <c r="V262" s="228"/>
      <c r="W262" s="228"/>
      <c r="X262" s="228"/>
      <c r="Y262" s="228">
        <f t="shared" si="81"/>
        <v>0</v>
      </c>
      <c r="Z262" s="152"/>
      <c r="AA262" s="96">
        <f t="shared" si="82"/>
        <v>40</v>
      </c>
      <c r="AB262" s="97">
        <f t="shared" si="83"/>
        <v>40</v>
      </c>
      <c r="AE262" s="228"/>
      <c r="AF262" s="228"/>
      <c r="AG262" s="228"/>
      <c r="AH262" s="228"/>
      <c r="AI262" s="120"/>
      <c r="AJ262" s="96">
        <f t="shared" si="84"/>
        <v>0</v>
      </c>
      <c r="AK262" s="97">
        <f t="shared" si="85"/>
        <v>0</v>
      </c>
      <c r="AL262" s="22"/>
      <c r="AM262" s="261"/>
      <c r="AN262" s="261"/>
      <c r="AO262" s="261"/>
      <c r="AP262" s="261"/>
      <c r="AQ262" s="261"/>
      <c r="AR262" s="261"/>
      <c r="AS262" s="285"/>
      <c r="AT262" s="95"/>
      <c r="AU262" s="96"/>
      <c r="AV262" s="97"/>
    </row>
    <row r="263" spans="1:48" x14ac:dyDescent="0.25">
      <c r="A263" s="11" t="s">
        <v>1008</v>
      </c>
      <c r="B263" s="60" t="s">
        <v>86</v>
      </c>
      <c r="C263" s="62">
        <v>2015</v>
      </c>
      <c r="D263" s="1">
        <f t="shared" si="77"/>
        <v>21</v>
      </c>
      <c r="L263" s="241">
        <f>15+6</f>
        <v>21</v>
      </c>
      <c r="M263" s="241"/>
      <c r="N263" s="267">
        <f t="shared" si="78"/>
        <v>0</v>
      </c>
      <c r="P263" s="96">
        <f t="shared" si="80"/>
        <v>21</v>
      </c>
      <c r="Q263" s="97">
        <f t="shared" si="79"/>
        <v>21</v>
      </c>
      <c r="R263" s="241"/>
      <c r="S263" s="241">
        <f>0</f>
        <v>0</v>
      </c>
      <c r="T263" s="241"/>
      <c r="U263" s="241"/>
      <c r="V263" s="241"/>
      <c r="W263" s="241"/>
      <c r="X263" s="241"/>
      <c r="Y263" s="241">
        <f t="shared" si="81"/>
        <v>0</v>
      </c>
      <c r="Z263" s="152"/>
      <c r="AA263" s="96">
        <f t="shared" si="82"/>
        <v>0</v>
      </c>
      <c r="AB263" s="97">
        <f t="shared" si="83"/>
        <v>0</v>
      </c>
      <c r="AE263" s="241"/>
      <c r="AF263" s="241"/>
      <c r="AG263" s="241"/>
      <c r="AH263" s="241"/>
      <c r="AI263" s="120"/>
      <c r="AJ263" s="96">
        <f t="shared" si="84"/>
        <v>0</v>
      </c>
      <c r="AK263" s="97">
        <f t="shared" si="85"/>
        <v>0</v>
      </c>
      <c r="AL263" s="22"/>
      <c r="AM263" s="261"/>
      <c r="AN263" s="261"/>
      <c r="AO263" s="261"/>
      <c r="AP263" s="261"/>
      <c r="AQ263" s="261"/>
      <c r="AR263" s="261"/>
      <c r="AS263" s="259"/>
      <c r="AT263" s="95"/>
      <c r="AU263" s="96"/>
      <c r="AV263" s="97"/>
    </row>
    <row r="264" spans="1:48" x14ac:dyDescent="0.25">
      <c r="A264" s="11" t="s">
        <v>130</v>
      </c>
      <c r="B264" s="60" t="s">
        <v>63</v>
      </c>
      <c r="C264" s="62">
        <v>2014</v>
      </c>
      <c r="D264" s="1">
        <f t="shared" si="77"/>
        <v>86</v>
      </c>
      <c r="E264" s="287"/>
      <c r="F264" s="287"/>
      <c r="H264" s="290"/>
      <c r="I264" s="287"/>
      <c r="J264" s="287"/>
      <c r="K264" s="287"/>
      <c r="L264" s="287"/>
      <c r="M264" s="287"/>
      <c r="N264" s="267">
        <f t="shared" si="78"/>
        <v>86</v>
      </c>
      <c r="P264" s="96">
        <f t="shared" si="80"/>
        <v>86</v>
      </c>
      <c r="Q264" s="97">
        <f t="shared" si="79"/>
        <v>86</v>
      </c>
      <c r="R264" s="287"/>
      <c r="S264" s="287"/>
      <c r="T264" s="287"/>
      <c r="U264" s="287"/>
      <c r="V264" s="287"/>
      <c r="W264" s="287"/>
      <c r="X264" s="287"/>
      <c r="Y264" s="241">
        <f t="shared" si="81"/>
        <v>86</v>
      </c>
      <c r="Z264" s="120"/>
      <c r="AA264" s="96">
        <f t="shared" si="82"/>
        <v>86</v>
      </c>
      <c r="AB264" s="97">
        <f t="shared" si="83"/>
        <v>86</v>
      </c>
      <c r="AC264" s="290"/>
      <c r="AD264" s="290"/>
      <c r="AE264" s="287"/>
      <c r="AF264" s="287"/>
      <c r="AG264" s="287"/>
      <c r="AH264" s="287">
        <f>AV264</f>
        <v>86</v>
      </c>
      <c r="AI264" s="120"/>
      <c r="AJ264" s="96">
        <f t="shared" si="84"/>
        <v>86</v>
      </c>
      <c r="AK264" s="97">
        <f t="shared" si="85"/>
        <v>86</v>
      </c>
      <c r="AL264" s="22"/>
      <c r="AM264" s="41"/>
      <c r="AN264" s="41">
        <v>8</v>
      </c>
      <c r="AO264" s="41">
        <f>16</f>
        <v>16</v>
      </c>
      <c r="AP264" s="41">
        <f>18</f>
        <v>18</v>
      </c>
      <c r="AQ264" s="41">
        <f>21</f>
        <v>21</v>
      </c>
      <c r="AR264" s="41">
        <f>23</f>
        <v>23</v>
      </c>
      <c r="AS264" s="13"/>
      <c r="AT264" s="95"/>
      <c r="AU264" s="96">
        <f>SUM(AM264:AS264)</f>
        <v>86</v>
      </c>
      <c r="AV264" s="97">
        <f>IF(C264=2015, AU264/3,AU264)+AT264</f>
        <v>86</v>
      </c>
    </row>
    <row r="265" spans="1:48" x14ac:dyDescent="0.25">
      <c r="A265" s="45" t="s">
        <v>444</v>
      </c>
      <c r="B265" s="66" t="s">
        <v>404</v>
      </c>
      <c r="C265" s="46">
        <v>2016</v>
      </c>
      <c r="D265" s="1">
        <f t="shared" si="77"/>
        <v>2.3333333333333335</v>
      </c>
      <c r="E265" s="154"/>
      <c r="F265" s="154"/>
      <c r="H265" s="290"/>
      <c r="I265" s="154"/>
      <c r="J265" s="154"/>
      <c r="K265" s="154"/>
      <c r="L265" s="154"/>
      <c r="M265" s="154"/>
      <c r="N265" s="267">
        <f t="shared" si="78"/>
        <v>2.3333333333333335</v>
      </c>
      <c r="P265" s="96">
        <f t="shared" si="80"/>
        <v>2.3333333333333335</v>
      </c>
      <c r="Q265" s="97">
        <f t="shared" si="79"/>
        <v>2.3333333333333335</v>
      </c>
      <c r="R265" s="154"/>
      <c r="S265" s="154"/>
      <c r="T265" s="154"/>
      <c r="U265" s="154"/>
      <c r="V265" s="154"/>
      <c r="W265" s="154"/>
      <c r="X265" s="154"/>
      <c r="Y265" s="241">
        <f t="shared" si="81"/>
        <v>2.3333333333333335</v>
      </c>
      <c r="Z265" s="122"/>
      <c r="AA265" s="96">
        <f t="shared" si="82"/>
        <v>2.3333333333333335</v>
      </c>
      <c r="AB265" s="97">
        <f t="shared" si="83"/>
        <v>2.3333333333333335</v>
      </c>
      <c r="AC265" s="290"/>
      <c r="AD265" s="290"/>
      <c r="AE265" s="108"/>
      <c r="AF265" s="108"/>
      <c r="AG265" s="108"/>
      <c r="AH265" s="108">
        <f>AV265</f>
        <v>7</v>
      </c>
      <c r="AI265" s="122"/>
      <c r="AJ265" s="96">
        <f t="shared" si="84"/>
        <v>7</v>
      </c>
      <c r="AK265" s="97">
        <f t="shared" si="85"/>
        <v>2.3333333333333335</v>
      </c>
      <c r="AL265" s="101"/>
      <c r="AM265" s="41"/>
      <c r="AN265" s="41"/>
      <c r="AO265" s="41"/>
      <c r="AP265" s="41"/>
      <c r="AQ265" s="41">
        <f>7</f>
        <v>7</v>
      </c>
      <c r="AR265" s="41"/>
      <c r="AS265" s="13"/>
      <c r="AU265" s="96">
        <f>SUM(AM265:AS265)</f>
        <v>7</v>
      </c>
      <c r="AV265" s="97">
        <f>IF(C265=2015, AU265/3,AU265)+AT265</f>
        <v>7</v>
      </c>
    </row>
    <row r="266" spans="1:48" x14ac:dyDescent="0.25">
      <c r="A266" s="11" t="s">
        <v>769</v>
      </c>
      <c r="B266" s="60" t="s">
        <v>63</v>
      </c>
      <c r="C266" s="62">
        <v>2014</v>
      </c>
      <c r="D266" s="1">
        <f t="shared" si="77"/>
        <v>0</v>
      </c>
      <c r="H266" s="290"/>
      <c r="K266" s="246"/>
      <c r="L266" s="246"/>
      <c r="M266" s="246"/>
      <c r="N266" s="267">
        <f t="shared" si="78"/>
        <v>0</v>
      </c>
      <c r="P266" s="96">
        <f t="shared" si="80"/>
        <v>0</v>
      </c>
      <c r="Q266" s="97">
        <f t="shared" si="79"/>
        <v>0</v>
      </c>
      <c r="R266" s="246"/>
      <c r="S266" s="246"/>
      <c r="T266" s="246"/>
      <c r="U266" s="246"/>
      <c r="V266" s="246"/>
      <c r="W266" s="246"/>
      <c r="X266" s="246">
        <f>0</f>
        <v>0</v>
      </c>
      <c r="Y266" s="246">
        <f t="shared" si="81"/>
        <v>0</v>
      </c>
      <c r="Z266" s="152"/>
      <c r="AA266" s="96">
        <f t="shared" si="82"/>
        <v>0</v>
      </c>
      <c r="AB266" s="97">
        <f t="shared" si="83"/>
        <v>0</v>
      </c>
      <c r="AC266" s="290"/>
      <c r="AD266" s="290"/>
      <c r="AE266" s="246"/>
      <c r="AF266" s="246"/>
      <c r="AG266" s="246"/>
      <c r="AH266" s="246"/>
      <c r="AI266" s="120"/>
      <c r="AJ266" s="96">
        <f t="shared" si="84"/>
        <v>0</v>
      </c>
      <c r="AK266" s="97">
        <f t="shared" si="85"/>
        <v>0</v>
      </c>
      <c r="AL266" s="22"/>
      <c r="AM266" s="246"/>
      <c r="AN266" s="246"/>
      <c r="AO266" s="246"/>
      <c r="AP266" s="246"/>
      <c r="AQ266" s="246"/>
      <c r="AR266" s="246"/>
      <c r="AS266" s="245"/>
      <c r="AT266" s="95"/>
      <c r="AU266" s="96"/>
      <c r="AV266" s="97"/>
    </row>
    <row r="267" spans="1:48" x14ac:dyDescent="0.25">
      <c r="A267" s="11" t="s">
        <v>1251</v>
      </c>
      <c r="B267" s="11" t="s">
        <v>529</v>
      </c>
      <c r="D267" s="1">
        <f t="shared" si="77"/>
        <v>25</v>
      </c>
      <c r="J267" s="246">
        <f>14</f>
        <v>14</v>
      </c>
      <c r="K267" s="241">
        <f>11</f>
        <v>11</v>
      </c>
      <c r="N267" s="267">
        <f t="shared" si="78"/>
        <v>0</v>
      </c>
      <c r="P267" s="96">
        <f t="shared" si="80"/>
        <v>25</v>
      </c>
      <c r="Q267" s="97">
        <f t="shared" si="79"/>
        <v>25</v>
      </c>
      <c r="Z267" s="287"/>
      <c r="AI267" s="287"/>
      <c r="AL267" s="285"/>
    </row>
    <row r="268" spans="1:48" x14ac:dyDescent="0.25">
      <c r="A268" s="11" t="s">
        <v>1250</v>
      </c>
      <c r="B268" s="11" t="s">
        <v>529</v>
      </c>
      <c r="D268" s="1">
        <f t="shared" si="77"/>
        <v>25</v>
      </c>
      <c r="J268" s="246">
        <f>14</f>
        <v>14</v>
      </c>
      <c r="K268" s="246">
        <f>11</f>
        <v>11</v>
      </c>
      <c r="L268" s="246"/>
      <c r="M268" s="246"/>
      <c r="N268" s="267">
        <f t="shared" si="78"/>
        <v>0</v>
      </c>
      <c r="P268" s="96">
        <f t="shared" si="80"/>
        <v>25</v>
      </c>
      <c r="Q268" s="97">
        <f t="shared" si="79"/>
        <v>25</v>
      </c>
      <c r="R268" s="246"/>
      <c r="S268" s="246"/>
      <c r="T268" s="246"/>
      <c r="U268" s="246"/>
      <c r="V268" s="246"/>
      <c r="W268" s="246"/>
      <c r="X268" s="246"/>
      <c r="Y268" s="246"/>
      <c r="Z268" s="261"/>
      <c r="AE268" s="246"/>
      <c r="AF268" s="246"/>
      <c r="AG268" s="246"/>
      <c r="AH268" s="246"/>
      <c r="AI268" s="261"/>
      <c r="AL268" s="259"/>
      <c r="AM268" s="246"/>
      <c r="AN268" s="246"/>
      <c r="AO268" s="246"/>
      <c r="AP268" s="246"/>
      <c r="AQ268" s="246"/>
      <c r="AR268" s="246"/>
      <c r="AS268" s="245"/>
    </row>
    <row r="269" spans="1:48" ht="15.75" x14ac:dyDescent="0.25">
      <c r="A269" s="207" t="s">
        <v>1030</v>
      </c>
      <c r="B269" s="11" t="s">
        <v>86</v>
      </c>
      <c r="C269" s="3">
        <v>2014</v>
      </c>
      <c r="D269" s="1">
        <f t="shared" si="77"/>
        <v>0</v>
      </c>
      <c r="E269" s="287"/>
      <c r="F269" s="287"/>
      <c r="I269" s="287"/>
      <c r="J269" s="287"/>
      <c r="K269" s="287"/>
      <c r="L269" s="287">
        <f>0</f>
        <v>0</v>
      </c>
      <c r="M269" s="287"/>
      <c r="N269" s="267">
        <f t="shared" si="78"/>
        <v>0</v>
      </c>
      <c r="P269" s="96">
        <f t="shared" si="80"/>
        <v>0</v>
      </c>
      <c r="Q269" s="97">
        <f t="shared" si="79"/>
        <v>0</v>
      </c>
      <c r="R269" s="287"/>
      <c r="S269" s="287">
        <f>0</f>
        <v>0</v>
      </c>
      <c r="T269" s="287"/>
      <c r="U269" s="287"/>
      <c r="V269" s="287"/>
      <c r="W269" s="287"/>
      <c r="X269" s="287"/>
      <c r="Y269" s="241">
        <f>AK269</f>
        <v>0</v>
      </c>
      <c r="Z269" s="152"/>
      <c r="AA269" s="96">
        <f>AM269+S269+T269+U269+V269+W269+X269+Y269</f>
        <v>0</v>
      </c>
      <c r="AB269" s="97">
        <f>IF(C269=2017, AA269/3,AA269)+Z269</f>
        <v>0</v>
      </c>
      <c r="AE269" s="287"/>
      <c r="AF269" s="287"/>
      <c r="AG269" s="287"/>
      <c r="AH269" s="287"/>
      <c r="AI269" s="120"/>
      <c r="AJ269" s="96">
        <f>SUM(AE269:AH269)</f>
        <v>0</v>
      </c>
      <c r="AK269" s="97">
        <f>IF(C269=2016, AJ269/3,AJ269)+AI269</f>
        <v>0</v>
      </c>
      <c r="AL269" s="22"/>
      <c r="AM269" s="287"/>
      <c r="AN269" s="287"/>
      <c r="AO269" s="287"/>
      <c r="AP269" s="287"/>
      <c r="AQ269" s="287"/>
      <c r="AR269" s="287"/>
      <c r="AS269" s="285"/>
      <c r="AT269" s="95"/>
      <c r="AU269" s="96"/>
      <c r="AV269" s="97"/>
    </row>
    <row r="270" spans="1:48" x14ac:dyDescent="0.25">
      <c r="A270" s="11" t="s">
        <v>520</v>
      </c>
      <c r="B270" s="66" t="s">
        <v>299</v>
      </c>
      <c r="C270" s="46">
        <v>2015</v>
      </c>
      <c r="D270" s="1">
        <f t="shared" si="77"/>
        <v>8</v>
      </c>
      <c r="H270" s="290"/>
      <c r="N270" s="267">
        <f t="shared" si="78"/>
        <v>8</v>
      </c>
      <c r="P270" s="96">
        <f t="shared" si="80"/>
        <v>8</v>
      </c>
      <c r="Q270" s="97">
        <f t="shared" si="79"/>
        <v>8</v>
      </c>
      <c r="Y270" s="215">
        <f>AK270</f>
        <v>8</v>
      </c>
      <c r="Z270" s="120"/>
      <c r="AA270" s="96">
        <f>AM270+S270+T270+U270+V270+W270+X270+Y270</f>
        <v>8</v>
      </c>
      <c r="AB270" s="97">
        <f>IF(C270=2017, AA270/3,AA270)+Z270</f>
        <v>8</v>
      </c>
      <c r="AC270" s="290"/>
      <c r="AD270" s="290"/>
      <c r="AH270" s="50">
        <f>AV270</f>
        <v>8</v>
      </c>
      <c r="AI270" s="120"/>
      <c r="AJ270" s="96">
        <f>SUM(AE270:AH270)</f>
        <v>8</v>
      </c>
      <c r="AK270" s="97">
        <f>IF(C270=2016, AJ270/3,AJ270)+AI270</f>
        <v>8</v>
      </c>
      <c r="AL270" s="101"/>
      <c r="AM270" s="41"/>
      <c r="AN270" s="41"/>
      <c r="AO270" s="41"/>
      <c r="AP270" s="41">
        <f>24</f>
        <v>24</v>
      </c>
      <c r="AQ270" s="41"/>
      <c r="AR270" s="41">
        <f>0</f>
        <v>0</v>
      </c>
      <c r="AS270" s="13"/>
      <c r="AT270" s="95"/>
      <c r="AU270" s="96">
        <f>SUM(AM270:AS270)</f>
        <v>24</v>
      </c>
      <c r="AV270" s="97">
        <f>IF(C270=2015, AU270/3,AU270)+AT270</f>
        <v>8</v>
      </c>
    </row>
    <row r="271" spans="1:48" ht="15.75" x14ac:dyDescent="0.25">
      <c r="A271" s="207" t="s">
        <v>1223</v>
      </c>
      <c r="B271" s="60" t="s">
        <v>834</v>
      </c>
      <c r="D271" s="1">
        <f t="shared" si="77"/>
        <v>58</v>
      </c>
      <c r="J271" s="246">
        <f>17+12</f>
        <v>29</v>
      </c>
      <c r="K271" s="241">
        <f>21+8</f>
        <v>29</v>
      </c>
      <c r="N271" s="267">
        <f t="shared" si="78"/>
        <v>0</v>
      </c>
      <c r="P271" s="96">
        <f t="shared" si="80"/>
        <v>58</v>
      </c>
      <c r="Q271" s="97">
        <f t="shared" si="79"/>
        <v>58</v>
      </c>
      <c r="Z271" s="152"/>
      <c r="AA271" s="96"/>
      <c r="AB271" s="97"/>
      <c r="AI271" s="120"/>
      <c r="AJ271" s="96"/>
      <c r="AK271" s="97"/>
      <c r="AL271" s="22"/>
      <c r="AT271" s="95"/>
      <c r="AU271" s="96"/>
      <c r="AV271" s="97"/>
    </row>
    <row r="272" spans="1:48" x14ac:dyDescent="0.25">
      <c r="A272" s="11" t="s">
        <v>550</v>
      </c>
      <c r="B272" s="60" t="s">
        <v>476</v>
      </c>
      <c r="C272" s="62">
        <v>2014</v>
      </c>
      <c r="D272" s="1">
        <f t="shared" si="77"/>
        <v>113</v>
      </c>
      <c r="E272" s="287"/>
      <c r="F272" s="287"/>
      <c r="H272" s="290"/>
      <c r="I272" s="287"/>
      <c r="J272" s="287"/>
      <c r="K272" s="287"/>
      <c r="L272" s="287">
        <f>36+10</f>
        <v>46</v>
      </c>
      <c r="M272" s="287"/>
      <c r="N272" s="267">
        <f t="shared" si="78"/>
        <v>67</v>
      </c>
      <c r="P272" s="96">
        <f t="shared" si="80"/>
        <v>113</v>
      </c>
      <c r="Q272" s="97">
        <f t="shared" si="79"/>
        <v>113</v>
      </c>
      <c r="R272" s="287"/>
      <c r="S272" s="287"/>
      <c r="T272" s="287"/>
      <c r="U272" s="287"/>
      <c r="V272" s="287"/>
      <c r="W272" s="287">
        <f>0+2+1</f>
        <v>3</v>
      </c>
      <c r="X272" s="287"/>
      <c r="Y272" s="215">
        <f t="shared" ref="Y272:Y277" si="86">AK272</f>
        <v>64</v>
      </c>
      <c r="Z272" s="152"/>
      <c r="AA272" s="96">
        <f t="shared" ref="AA272:AA277" si="87">AM272+S272+T272+U272+V272+W272+X272+Y272</f>
        <v>67</v>
      </c>
      <c r="AB272" s="97">
        <f t="shared" ref="AB272:AB277" si="88">IF(C272=2017, AA272/3,AA272)+Z272</f>
        <v>67</v>
      </c>
      <c r="AC272" s="290"/>
      <c r="AD272" s="290"/>
      <c r="AE272" s="287">
        <f>32</f>
        <v>32</v>
      </c>
      <c r="AF272" s="287">
        <f>0</f>
        <v>0</v>
      </c>
      <c r="AG272" s="287">
        <f>32</f>
        <v>32</v>
      </c>
      <c r="AH272" s="287"/>
      <c r="AI272" s="120"/>
      <c r="AJ272" s="96">
        <f t="shared" ref="AJ272:AJ277" si="89">SUM(AE272:AH272)</f>
        <v>64</v>
      </c>
      <c r="AK272" s="97">
        <f t="shared" ref="AK272:AK277" si="90">IF(C272=2016, AJ272/3,AJ272)+AI272</f>
        <v>64</v>
      </c>
      <c r="AL272" s="22"/>
      <c r="AM272" s="287"/>
      <c r="AN272" s="287"/>
      <c r="AO272" s="287"/>
      <c r="AP272" s="287"/>
      <c r="AQ272" s="287"/>
      <c r="AR272" s="287"/>
      <c r="AS272" s="285"/>
      <c r="AT272" s="95"/>
      <c r="AU272" s="96">
        <f>SUM(AM272:AS272)</f>
        <v>0</v>
      </c>
      <c r="AV272" s="97">
        <f>IF(C272=2015, AU272/3,AU272)+AT272</f>
        <v>0</v>
      </c>
    </row>
    <row r="273" spans="1:48" x14ac:dyDescent="0.25">
      <c r="A273" s="11" t="s">
        <v>301</v>
      </c>
      <c r="B273" s="60" t="s">
        <v>63</v>
      </c>
      <c r="C273" s="62">
        <v>2014</v>
      </c>
      <c r="D273" s="1">
        <f t="shared" si="77"/>
        <v>51</v>
      </c>
      <c r="E273" s="287"/>
      <c r="F273" s="287"/>
      <c r="H273" s="290"/>
      <c r="I273" s="287"/>
      <c r="J273" s="287"/>
      <c r="K273" s="287"/>
      <c r="L273" s="287"/>
      <c r="M273" s="287"/>
      <c r="N273" s="267">
        <f t="shared" si="78"/>
        <v>51</v>
      </c>
      <c r="P273" s="96">
        <f t="shared" si="80"/>
        <v>51</v>
      </c>
      <c r="Q273" s="97">
        <f t="shared" si="79"/>
        <v>51</v>
      </c>
      <c r="R273" s="287"/>
      <c r="S273" s="287"/>
      <c r="T273" s="287"/>
      <c r="U273" s="287"/>
      <c r="V273" s="287"/>
      <c r="W273" s="287"/>
      <c r="X273" s="287"/>
      <c r="Y273" s="215">
        <f t="shared" si="86"/>
        <v>51</v>
      </c>
      <c r="Z273" s="120"/>
      <c r="AA273" s="96">
        <f t="shared" si="87"/>
        <v>51</v>
      </c>
      <c r="AB273" s="97">
        <f t="shared" si="88"/>
        <v>51</v>
      </c>
      <c r="AC273" s="290"/>
      <c r="AD273" s="290"/>
      <c r="AE273" s="287"/>
      <c r="AF273" s="287"/>
      <c r="AG273" s="287"/>
      <c r="AH273" s="287">
        <f>AV273</f>
        <v>51</v>
      </c>
      <c r="AI273" s="120"/>
      <c r="AJ273" s="96">
        <f t="shared" si="89"/>
        <v>51</v>
      </c>
      <c r="AK273" s="97">
        <f t="shared" si="90"/>
        <v>51</v>
      </c>
      <c r="AL273" s="22"/>
      <c r="AM273" s="287"/>
      <c r="AN273" s="287"/>
      <c r="AO273" s="287"/>
      <c r="AP273" s="287">
        <f>51</f>
        <v>51</v>
      </c>
      <c r="AQ273" s="287"/>
      <c r="AR273" s="287"/>
      <c r="AS273" s="285"/>
      <c r="AT273" s="95"/>
      <c r="AU273" s="96">
        <f>SUM(AM273:AS273)</f>
        <v>51</v>
      </c>
      <c r="AV273" s="97">
        <f>IF(C273=2015, AU273/3,AU273)+AT273</f>
        <v>51</v>
      </c>
    </row>
    <row r="274" spans="1:48" x14ac:dyDescent="0.25">
      <c r="A274" s="11" t="s">
        <v>1032</v>
      </c>
      <c r="B274" s="60" t="s">
        <v>86</v>
      </c>
      <c r="C274" s="62">
        <v>2015</v>
      </c>
      <c r="D274" s="1">
        <f t="shared" si="77"/>
        <v>0</v>
      </c>
      <c r="L274" s="228">
        <f>0</f>
        <v>0</v>
      </c>
      <c r="N274" s="267">
        <f t="shared" si="78"/>
        <v>0</v>
      </c>
      <c r="P274" s="96">
        <f t="shared" si="80"/>
        <v>0</v>
      </c>
      <c r="Q274" s="97">
        <f t="shared" si="79"/>
        <v>0</v>
      </c>
      <c r="S274" s="201">
        <f>0</f>
        <v>0</v>
      </c>
      <c r="Y274" s="215">
        <f t="shared" si="86"/>
        <v>0</v>
      </c>
      <c r="Z274" s="152"/>
      <c r="AA274" s="96">
        <f t="shared" si="87"/>
        <v>0</v>
      </c>
      <c r="AB274" s="97">
        <f t="shared" si="88"/>
        <v>0</v>
      </c>
      <c r="AI274" s="120"/>
      <c r="AJ274" s="96">
        <f t="shared" si="89"/>
        <v>0</v>
      </c>
      <c r="AK274" s="97">
        <f t="shared" si="90"/>
        <v>0</v>
      </c>
      <c r="AL274" s="22"/>
      <c r="AT274" s="95"/>
      <c r="AU274" s="96"/>
      <c r="AV274" s="97"/>
    </row>
    <row r="275" spans="1:48" x14ac:dyDescent="0.25">
      <c r="A275" s="11" t="s">
        <v>709</v>
      </c>
      <c r="B275" s="66" t="s">
        <v>63</v>
      </c>
      <c r="C275" s="46">
        <v>2017</v>
      </c>
      <c r="D275" s="1">
        <f t="shared" si="77"/>
        <v>126</v>
      </c>
      <c r="E275" s="108">
        <f>34</f>
        <v>34</v>
      </c>
      <c r="F275" s="108"/>
      <c r="H275" s="101"/>
      <c r="I275" s="108">
        <f>58+24</f>
        <v>82</v>
      </c>
      <c r="J275" s="108"/>
      <c r="K275" s="108"/>
      <c r="L275" s="108"/>
      <c r="M275" s="108"/>
      <c r="N275" s="267">
        <f t="shared" si="78"/>
        <v>10</v>
      </c>
      <c r="P275" s="96">
        <f t="shared" ref="P275:P282" si="91">I275+J275+K275+L275+M275+N275</f>
        <v>92</v>
      </c>
      <c r="Q275" s="97">
        <f t="shared" si="79"/>
        <v>92</v>
      </c>
      <c r="R275" s="108"/>
      <c r="S275" s="108"/>
      <c r="T275" s="108"/>
      <c r="U275" s="108">
        <f>3</f>
        <v>3</v>
      </c>
      <c r="V275" s="108">
        <f>8+3</f>
        <v>11</v>
      </c>
      <c r="W275" s="108">
        <f>3+1</f>
        <v>4</v>
      </c>
      <c r="X275" s="108">
        <v>12</v>
      </c>
      <c r="Y275" s="215">
        <f t="shared" si="86"/>
        <v>0</v>
      </c>
      <c r="Z275" s="122"/>
      <c r="AA275" s="96">
        <f t="shared" si="87"/>
        <v>30</v>
      </c>
      <c r="AB275" s="97">
        <f t="shared" si="88"/>
        <v>10</v>
      </c>
      <c r="AC275" s="101"/>
      <c r="AD275" s="108">
        <f>4</f>
        <v>4</v>
      </c>
      <c r="AE275" s="108"/>
      <c r="AF275" s="108"/>
      <c r="AG275" s="108"/>
      <c r="AH275" s="108"/>
      <c r="AI275" s="122"/>
      <c r="AJ275" s="96">
        <f t="shared" si="89"/>
        <v>0</v>
      </c>
      <c r="AK275" s="97">
        <f t="shared" si="90"/>
        <v>0</v>
      </c>
      <c r="AL275" s="101"/>
      <c r="AM275" s="41"/>
      <c r="AN275" s="41"/>
      <c r="AO275" s="41"/>
      <c r="AP275" s="41"/>
      <c r="AQ275" s="41"/>
      <c r="AR275" s="41"/>
      <c r="AS275" s="13"/>
    </row>
    <row r="276" spans="1:48" x14ac:dyDescent="0.25">
      <c r="A276" s="11" t="s">
        <v>464</v>
      </c>
      <c r="B276" s="66" t="s">
        <v>272</v>
      </c>
      <c r="C276" s="46">
        <v>2016</v>
      </c>
      <c r="D276" s="1">
        <f t="shared" si="77"/>
        <v>1</v>
      </c>
      <c r="E276" s="154"/>
      <c r="F276" s="154"/>
      <c r="H276" s="290"/>
      <c r="I276" s="154"/>
      <c r="J276" s="154"/>
      <c r="K276" s="154"/>
      <c r="L276" s="154"/>
      <c r="M276" s="154"/>
      <c r="N276" s="267">
        <f t="shared" si="78"/>
        <v>1</v>
      </c>
      <c r="P276" s="96">
        <f t="shared" si="91"/>
        <v>1</v>
      </c>
      <c r="Q276" s="97">
        <f t="shared" si="79"/>
        <v>1</v>
      </c>
      <c r="R276" s="154"/>
      <c r="S276" s="154"/>
      <c r="T276" s="154"/>
      <c r="U276" s="154"/>
      <c r="V276" s="154"/>
      <c r="W276" s="154"/>
      <c r="X276" s="154"/>
      <c r="Y276" s="215">
        <f t="shared" si="86"/>
        <v>1</v>
      </c>
      <c r="Z276" s="122"/>
      <c r="AA276" s="96">
        <f t="shared" si="87"/>
        <v>1</v>
      </c>
      <c r="AB276" s="97">
        <f t="shared" si="88"/>
        <v>1</v>
      </c>
      <c r="AC276" s="290"/>
      <c r="AD276" s="290"/>
      <c r="AE276" s="108"/>
      <c r="AF276" s="108"/>
      <c r="AG276" s="108"/>
      <c r="AH276" s="108">
        <f>AV276</f>
        <v>3</v>
      </c>
      <c r="AI276" s="122"/>
      <c r="AJ276" s="96">
        <f t="shared" si="89"/>
        <v>3</v>
      </c>
      <c r="AK276" s="97">
        <f t="shared" si="90"/>
        <v>1</v>
      </c>
      <c r="AL276" s="101"/>
      <c r="AM276" s="41"/>
      <c r="AN276" s="41"/>
      <c r="AO276" s="41"/>
      <c r="AP276" s="41"/>
      <c r="AQ276" s="41"/>
      <c r="AR276" s="41">
        <f>3</f>
        <v>3</v>
      </c>
      <c r="AS276" s="13"/>
      <c r="AU276" s="96">
        <f>SUM(AM276:AS276)</f>
        <v>3</v>
      </c>
      <c r="AV276" s="97">
        <f>IF(C276=2015, AU276/3,AU276)+AT276</f>
        <v>3</v>
      </c>
    </row>
    <row r="277" spans="1:48" x14ac:dyDescent="0.25">
      <c r="A277" s="11" t="s">
        <v>407</v>
      </c>
      <c r="B277" s="60" t="s">
        <v>63</v>
      </c>
      <c r="C277" s="62">
        <v>2014</v>
      </c>
      <c r="D277" s="1">
        <f t="shared" si="77"/>
        <v>10</v>
      </c>
      <c r="H277" s="290"/>
      <c r="N277" s="267">
        <f t="shared" si="78"/>
        <v>10</v>
      </c>
      <c r="P277" s="96">
        <f t="shared" si="91"/>
        <v>10</v>
      </c>
      <c r="Q277" s="97">
        <f t="shared" si="79"/>
        <v>10</v>
      </c>
      <c r="Y277" s="215">
        <f t="shared" si="86"/>
        <v>10</v>
      </c>
      <c r="Z277" s="120"/>
      <c r="AA277" s="96">
        <f t="shared" si="87"/>
        <v>10</v>
      </c>
      <c r="AB277" s="97">
        <f t="shared" si="88"/>
        <v>10</v>
      </c>
      <c r="AC277" s="290"/>
      <c r="AD277" s="290"/>
      <c r="AH277" s="50">
        <f>AV277</f>
        <v>10</v>
      </c>
      <c r="AI277" s="120"/>
      <c r="AJ277" s="96">
        <f t="shared" si="89"/>
        <v>10</v>
      </c>
      <c r="AK277" s="97">
        <f t="shared" si="90"/>
        <v>10</v>
      </c>
      <c r="AL277" s="22"/>
      <c r="AQ277" s="50">
        <f>10</f>
        <v>10</v>
      </c>
      <c r="AT277" s="95"/>
      <c r="AU277" s="96">
        <f>SUM(AM277:AS277)</f>
        <v>10</v>
      </c>
      <c r="AV277" s="97">
        <f>IF(C277=2015, AU277/3,AU277)+AT277</f>
        <v>10</v>
      </c>
    </row>
    <row r="278" spans="1:48" x14ac:dyDescent="0.25">
      <c r="A278" s="11" t="s">
        <v>1096</v>
      </c>
      <c r="B278" s="60" t="s">
        <v>834</v>
      </c>
      <c r="C278" s="62">
        <v>2014</v>
      </c>
      <c r="D278" s="1">
        <f t="shared" si="77"/>
        <v>98</v>
      </c>
      <c r="I278" s="261">
        <f>40</f>
        <v>40</v>
      </c>
      <c r="J278" s="246">
        <f>9</f>
        <v>9</v>
      </c>
      <c r="K278" s="241">
        <f>20+5</f>
        <v>25</v>
      </c>
      <c r="L278" s="228">
        <f>24</f>
        <v>24</v>
      </c>
      <c r="N278" s="267">
        <f t="shared" si="78"/>
        <v>0</v>
      </c>
      <c r="P278" s="96">
        <f t="shared" si="91"/>
        <v>98</v>
      </c>
      <c r="Q278" s="97">
        <f t="shared" si="79"/>
        <v>98</v>
      </c>
      <c r="Z278" s="152"/>
      <c r="AA278" s="96"/>
      <c r="AB278" s="97"/>
      <c r="AI278" s="120"/>
      <c r="AJ278" s="96"/>
      <c r="AK278" s="97"/>
      <c r="AL278" s="22"/>
      <c r="AT278" s="95"/>
      <c r="AU278" s="96"/>
      <c r="AV278" s="97"/>
    </row>
    <row r="279" spans="1:48" x14ac:dyDescent="0.25">
      <c r="A279" s="11" t="s">
        <v>896</v>
      </c>
      <c r="B279" s="11" t="s">
        <v>63</v>
      </c>
      <c r="C279" s="3">
        <v>2014</v>
      </c>
      <c r="D279" s="1">
        <f t="shared" si="77"/>
        <v>190</v>
      </c>
      <c r="E279" s="283">
        <f>34</f>
        <v>34</v>
      </c>
      <c r="I279" s="261">
        <f>40</f>
        <v>40</v>
      </c>
      <c r="K279" s="241">
        <f>49</f>
        <v>49</v>
      </c>
      <c r="N279" s="267">
        <f t="shared" si="78"/>
        <v>67</v>
      </c>
      <c r="P279" s="96">
        <f t="shared" si="91"/>
        <v>156</v>
      </c>
      <c r="Q279" s="97">
        <f t="shared" si="79"/>
        <v>156</v>
      </c>
      <c r="S279" s="201">
        <f>26</f>
        <v>26</v>
      </c>
      <c r="T279" s="192">
        <f>23</f>
        <v>23</v>
      </c>
      <c r="U279" s="183">
        <f>18</f>
        <v>18</v>
      </c>
      <c r="V279" s="168">
        <f>0</f>
        <v>0</v>
      </c>
      <c r="Y279" s="215">
        <f>AK279</f>
        <v>0</v>
      </c>
      <c r="AA279" s="96">
        <f>AM279+S279+T279+U279+V279+W279+X279+Y279</f>
        <v>67</v>
      </c>
      <c r="AB279" s="97">
        <f>IF(C279=2017, AA279/3,AA279)+Z279</f>
        <v>67</v>
      </c>
      <c r="AJ279" s="96">
        <f>SUM(AE279:AH279)</f>
        <v>0</v>
      </c>
      <c r="AK279" s="97">
        <f>IF(C279=2016, AJ279/3,AJ279)+AI279</f>
        <v>0</v>
      </c>
    </row>
    <row r="280" spans="1:48" x14ac:dyDescent="0.25">
      <c r="A280" s="11" t="s">
        <v>471</v>
      </c>
      <c r="B280" s="60" t="s">
        <v>7</v>
      </c>
      <c r="C280" s="62">
        <v>2014</v>
      </c>
      <c r="D280" s="1">
        <f t="shared" si="77"/>
        <v>36</v>
      </c>
      <c r="H280" s="290"/>
      <c r="N280" s="267">
        <f t="shared" si="78"/>
        <v>36</v>
      </c>
      <c r="P280" s="96">
        <f t="shared" si="91"/>
        <v>36</v>
      </c>
      <c r="Q280" s="97">
        <f t="shared" si="79"/>
        <v>36</v>
      </c>
      <c r="Y280" s="215">
        <f>AK280</f>
        <v>36</v>
      </c>
      <c r="Z280" s="120"/>
      <c r="AA280" s="96">
        <f>AM280+S280+T280+U280+V280+W280+X280+Y280</f>
        <v>36</v>
      </c>
      <c r="AB280" s="97">
        <f>IF(C280=2017, AA280/3,AA280)+Z280</f>
        <v>36</v>
      </c>
      <c r="AC280" s="290"/>
      <c r="AD280" s="290"/>
      <c r="AE280" s="50">
        <f>0</f>
        <v>0</v>
      </c>
      <c r="AF280" s="50">
        <f>13</f>
        <v>13</v>
      </c>
      <c r="AH280" s="50">
        <f>AV280</f>
        <v>23</v>
      </c>
      <c r="AI280" s="120"/>
      <c r="AJ280" s="96">
        <f>SUM(AE280:AH280)</f>
        <v>36</v>
      </c>
      <c r="AK280" s="97">
        <f>IF(C280=2016, AJ280/3,AJ280)+AI280</f>
        <v>36</v>
      </c>
      <c r="AL280" s="22"/>
      <c r="AM280" s="41"/>
      <c r="AN280" s="41"/>
      <c r="AO280" s="41"/>
      <c r="AP280" s="41"/>
      <c r="AQ280" s="41"/>
      <c r="AR280" s="41">
        <f>23</f>
        <v>23</v>
      </c>
      <c r="AS280" s="13"/>
      <c r="AT280" s="95"/>
      <c r="AU280" s="96">
        <f>SUM(AM280:AS280)</f>
        <v>23</v>
      </c>
      <c r="AV280" s="97">
        <f>IF(C280=2015, AU280/3,AU280)+AT280</f>
        <v>23</v>
      </c>
    </row>
    <row r="281" spans="1:48" x14ac:dyDescent="0.25">
      <c r="A281" s="11" t="s">
        <v>1255</v>
      </c>
      <c r="B281" s="60" t="s">
        <v>1256</v>
      </c>
      <c r="C281" s="62"/>
      <c r="D281" s="1">
        <f t="shared" si="77"/>
        <v>24</v>
      </c>
      <c r="K281" s="241">
        <f>24</f>
        <v>24</v>
      </c>
      <c r="N281" s="267">
        <f t="shared" si="78"/>
        <v>0</v>
      </c>
      <c r="P281" s="96">
        <f t="shared" si="91"/>
        <v>24</v>
      </c>
      <c r="Q281" s="97">
        <f t="shared" si="79"/>
        <v>24</v>
      </c>
      <c r="Z281" s="152"/>
      <c r="AA281" s="96"/>
      <c r="AB281" s="97"/>
      <c r="AI281" s="120"/>
      <c r="AJ281" s="96"/>
      <c r="AK281" s="97"/>
      <c r="AL281" s="22"/>
      <c r="AT281" s="95"/>
      <c r="AU281" s="96"/>
      <c r="AV281" s="97"/>
    </row>
    <row r="282" spans="1:48" x14ac:dyDescent="0.25">
      <c r="A282" s="11" t="s">
        <v>605</v>
      </c>
      <c r="B282" s="60" t="s">
        <v>296</v>
      </c>
      <c r="C282" s="62"/>
      <c r="D282" s="1">
        <f t="shared" si="77"/>
        <v>34</v>
      </c>
      <c r="H282" s="290"/>
      <c r="N282" s="267">
        <f t="shared" si="78"/>
        <v>34</v>
      </c>
      <c r="P282" s="96">
        <f t="shared" si="91"/>
        <v>34</v>
      </c>
      <c r="Q282" s="97">
        <f t="shared" si="79"/>
        <v>34</v>
      </c>
      <c r="Y282" s="215">
        <f>AK282</f>
        <v>34</v>
      </c>
      <c r="Z282" s="152"/>
      <c r="AA282" s="96">
        <f>AM282+S282+T282+U282+V282+W282+X282+Y282</f>
        <v>34</v>
      </c>
      <c r="AB282" s="97">
        <f>IF(C282=2017, AA282/3,AA282)+Z282</f>
        <v>34</v>
      </c>
      <c r="AC282" s="290"/>
      <c r="AD282" s="290"/>
      <c r="AF282" s="50">
        <f>34</f>
        <v>34</v>
      </c>
      <c r="AI282" s="120"/>
      <c r="AJ282" s="96">
        <f>SUM(AE282:AH282)</f>
        <v>34</v>
      </c>
      <c r="AK282" s="97">
        <f>IF(C282=2016, AJ282/3,AJ282)+AI282</f>
        <v>34</v>
      </c>
      <c r="AL282" s="22"/>
      <c r="AM282" s="151"/>
      <c r="AN282" s="151"/>
      <c r="AO282" s="151"/>
      <c r="AP282" s="151"/>
      <c r="AQ282" s="151"/>
      <c r="AR282" s="151"/>
      <c r="AS282" s="13"/>
      <c r="AT282" s="95"/>
      <c r="AU282" s="96">
        <f>SUM(AM282:AS282)</f>
        <v>0</v>
      </c>
      <c r="AV282" s="97">
        <f>IF(C282=2015, AU282/3,AU282)+AT282</f>
        <v>0</v>
      </c>
    </row>
    <row r="283" spans="1:48" s="17" customFormat="1" x14ac:dyDescent="0.25">
      <c r="A283" s="304" t="s">
        <v>15</v>
      </c>
      <c r="B283" s="305"/>
      <c r="C283" s="306"/>
      <c r="D283" s="1"/>
      <c r="E283" s="283"/>
      <c r="F283" s="278"/>
      <c r="G283" s="120"/>
      <c r="H283" s="280"/>
      <c r="I283" s="261"/>
      <c r="J283" s="246"/>
      <c r="K283" s="241"/>
      <c r="L283" s="228"/>
      <c r="M283" s="215"/>
      <c r="N283" s="267">
        <f t="shared" ref="N283:N284" si="92">AB283</f>
        <v>0</v>
      </c>
      <c r="O283" s="120"/>
      <c r="P283" s="96">
        <f t="shared" ref="P283:P284" si="93">I283+J283+K283+L283+M283+N283</f>
        <v>0</v>
      </c>
      <c r="Q283" s="97">
        <f t="shared" ref="Q283:Q284" si="94">IF(C283=2013, P283/3,P283)+O283</f>
        <v>0</v>
      </c>
      <c r="R283" s="215"/>
      <c r="S283" s="201"/>
      <c r="T283" s="192"/>
      <c r="U283" s="183"/>
      <c r="V283" s="168"/>
      <c r="W283" s="50"/>
      <c r="X283" s="50"/>
      <c r="Y283" s="215">
        <f t="shared" ref="Y283" si="95">AK283</f>
        <v>0</v>
      </c>
      <c r="Z283" s="50"/>
      <c r="AA283" s="96">
        <f t="shared" ref="AA283" si="96">AM283+S283+T283+U283+V283+W283+X283+Y283</f>
        <v>0</v>
      </c>
      <c r="AB283" s="97">
        <f t="shared" ref="AB283" si="97">IF(C283=2017, AA283/3,AA283)+Z283</f>
        <v>0</v>
      </c>
      <c r="AC283" s="205"/>
      <c r="AD283" s="205"/>
      <c r="AE283" s="50"/>
      <c r="AF283" s="50"/>
      <c r="AG283" s="50"/>
      <c r="AH283" s="50"/>
      <c r="AI283" s="50"/>
      <c r="AJ283" s="96">
        <f t="shared" ref="AJ283" si="98">SUM(AE283:AH283)</f>
        <v>0</v>
      </c>
      <c r="AK283" s="97">
        <f t="shared" ref="AK283" si="99">IF(C283=2016, AJ283/3,AJ283)+AI283</f>
        <v>0</v>
      </c>
      <c r="AL283" s="22"/>
      <c r="AM283" s="50"/>
      <c r="AN283" s="50"/>
      <c r="AO283" s="50"/>
      <c r="AP283" s="50"/>
      <c r="AQ283" s="50"/>
      <c r="AR283" s="50"/>
      <c r="AS283" s="22"/>
      <c r="AT283" s="68"/>
      <c r="AU283" s="96">
        <f>SUM(AM283:AS283)</f>
        <v>0</v>
      </c>
      <c r="AV283" s="97">
        <f>IF(C283=2015, AU283/3,AU283)+AT283</f>
        <v>0</v>
      </c>
    </row>
    <row r="284" spans="1:48" s="17" customFormat="1" x14ac:dyDescent="0.25">
      <c r="A284" s="11" t="s">
        <v>1262</v>
      </c>
      <c r="B284" s="60" t="s">
        <v>834</v>
      </c>
      <c r="C284" s="62"/>
      <c r="D284" s="1">
        <f t="shared" ref="D284:D305" si="100">Q284+F284+E284</f>
        <v>85</v>
      </c>
      <c r="E284" s="283"/>
      <c r="F284" s="278"/>
      <c r="G284" s="120"/>
      <c r="H284" s="280"/>
      <c r="I284" s="261">
        <f>48</f>
        <v>48</v>
      </c>
      <c r="J284" s="246">
        <f>30+7</f>
        <v>37</v>
      </c>
      <c r="K284" s="246"/>
      <c r="L284" s="246"/>
      <c r="M284" s="246"/>
      <c r="N284" s="267">
        <f t="shared" si="92"/>
        <v>0</v>
      </c>
      <c r="O284" s="120"/>
      <c r="P284" s="96">
        <f t="shared" si="93"/>
        <v>85</v>
      </c>
      <c r="Q284" s="97">
        <f t="shared" si="94"/>
        <v>85</v>
      </c>
      <c r="R284" s="246"/>
      <c r="S284" s="246"/>
      <c r="T284" s="246"/>
      <c r="U284" s="246"/>
      <c r="V284" s="246"/>
      <c r="W284" s="246"/>
      <c r="X284" s="246"/>
      <c r="Y284" s="246"/>
      <c r="Z284" s="152"/>
      <c r="AA284" s="96"/>
      <c r="AB284" s="97"/>
      <c r="AC284" s="248"/>
      <c r="AD284" s="248"/>
      <c r="AE284" s="246"/>
      <c r="AF284" s="246"/>
      <c r="AG284" s="246"/>
      <c r="AH284" s="246"/>
      <c r="AI284" s="120"/>
      <c r="AJ284" s="96"/>
      <c r="AK284" s="97"/>
      <c r="AL284" s="22"/>
      <c r="AM284" s="246"/>
      <c r="AN284" s="246"/>
      <c r="AO284" s="246"/>
      <c r="AP284" s="246"/>
      <c r="AQ284" s="246"/>
      <c r="AR284" s="246"/>
      <c r="AS284" s="22"/>
      <c r="AT284" s="68"/>
      <c r="AU284" s="96"/>
      <c r="AV284" s="97"/>
    </row>
    <row r="285" spans="1:48" x14ac:dyDescent="0.25">
      <c r="A285" s="11" t="s">
        <v>1403</v>
      </c>
      <c r="B285" s="60" t="s">
        <v>0</v>
      </c>
      <c r="C285" s="62">
        <v>2014</v>
      </c>
      <c r="D285" s="1">
        <f t="shared" si="100"/>
        <v>37</v>
      </c>
      <c r="E285" s="283">
        <f>37</f>
        <v>37</v>
      </c>
      <c r="F285" s="283"/>
      <c r="G285" s="120">
        <f>4</f>
        <v>4</v>
      </c>
      <c r="H285" s="284"/>
      <c r="I285" s="283"/>
      <c r="J285" s="283"/>
      <c r="K285" s="283"/>
      <c r="L285" s="283"/>
      <c r="M285" s="283"/>
      <c r="N285" s="283"/>
      <c r="P285" s="96"/>
      <c r="Q285" s="97"/>
      <c r="R285" s="283"/>
      <c r="S285" s="283"/>
      <c r="T285" s="283"/>
      <c r="U285" s="283"/>
      <c r="V285" s="283"/>
      <c r="W285" s="283"/>
      <c r="X285" s="283"/>
      <c r="Y285" s="283"/>
      <c r="Z285" s="152"/>
      <c r="AA285" s="96"/>
      <c r="AB285" s="97"/>
      <c r="AC285" s="284"/>
      <c r="AD285" s="284"/>
      <c r="AE285" s="283"/>
      <c r="AF285" s="283"/>
      <c r="AG285" s="283"/>
      <c r="AH285" s="283"/>
      <c r="AI285" s="120"/>
      <c r="AJ285" s="96"/>
      <c r="AK285" s="97"/>
      <c r="AL285" s="22"/>
      <c r="AM285" s="151"/>
      <c r="AN285" s="151"/>
      <c r="AO285" s="151"/>
      <c r="AP285" s="151"/>
      <c r="AQ285" s="151"/>
      <c r="AR285" s="151"/>
      <c r="AS285" s="13"/>
      <c r="AT285" s="95"/>
      <c r="AU285" s="96"/>
      <c r="AV285" s="97"/>
    </row>
    <row r="286" spans="1:48" x14ac:dyDescent="0.25">
      <c r="A286" s="11" t="s">
        <v>1371</v>
      </c>
      <c r="B286" s="60" t="s">
        <v>63</v>
      </c>
      <c r="C286" s="62">
        <v>2014</v>
      </c>
      <c r="D286" s="1">
        <f t="shared" si="100"/>
        <v>22</v>
      </c>
      <c r="E286" s="283">
        <f>10</f>
        <v>10</v>
      </c>
      <c r="F286" s="278">
        <f>12</f>
        <v>12</v>
      </c>
      <c r="H286" s="280"/>
      <c r="I286" s="278"/>
      <c r="J286" s="278"/>
      <c r="K286" s="278"/>
      <c r="L286" s="278"/>
      <c r="M286" s="278"/>
      <c r="N286" s="278"/>
      <c r="P286" s="96"/>
      <c r="Q286" s="97"/>
      <c r="R286" s="278"/>
      <c r="S286" s="278"/>
      <c r="T286" s="278"/>
      <c r="U286" s="278"/>
      <c r="V286" s="278"/>
      <c r="W286" s="278"/>
      <c r="X286" s="278"/>
      <c r="Y286" s="278"/>
      <c r="Z286" s="152"/>
      <c r="AA286" s="96"/>
      <c r="AB286" s="97"/>
      <c r="AC286" s="280"/>
      <c r="AD286" s="280"/>
      <c r="AE286" s="278"/>
      <c r="AF286" s="278"/>
      <c r="AG286" s="278"/>
      <c r="AH286" s="278"/>
      <c r="AI286" s="120"/>
      <c r="AJ286" s="96"/>
      <c r="AK286" s="97"/>
      <c r="AL286" s="22"/>
      <c r="AM286" s="151"/>
      <c r="AN286" s="151"/>
      <c r="AO286" s="151"/>
      <c r="AP286" s="151"/>
      <c r="AQ286" s="151"/>
      <c r="AR286" s="151"/>
      <c r="AS286" s="13"/>
      <c r="AT286" s="95"/>
      <c r="AU286" s="96"/>
      <c r="AV286" s="97"/>
    </row>
    <row r="287" spans="1:48" x14ac:dyDescent="0.25">
      <c r="A287" s="11" t="s">
        <v>1378</v>
      </c>
      <c r="B287" s="60" t="s">
        <v>63</v>
      </c>
      <c r="C287" s="62">
        <v>2015</v>
      </c>
      <c r="D287" s="1">
        <f t="shared" si="100"/>
        <v>6</v>
      </c>
      <c r="E287" s="283">
        <f>0</f>
        <v>0</v>
      </c>
      <c r="F287" s="278">
        <f>6</f>
        <v>6</v>
      </c>
      <c r="H287" s="280"/>
      <c r="I287" s="278"/>
      <c r="J287" s="278"/>
      <c r="K287" s="278"/>
      <c r="L287" s="278"/>
      <c r="M287" s="278"/>
      <c r="N287" s="278"/>
      <c r="P287" s="96"/>
      <c r="Q287" s="97"/>
      <c r="R287" s="278"/>
      <c r="S287" s="278"/>
      <c r="T287" s="278"/>
      <c r="U287" s="278"/>
      <c r="V287" s="278"/>
      <c r="W287" s="278"/>
      <c r="X287" s="278"/>
      <c r="Y287" s="278"/>
      <c r="Z287" s="152"/>
      <c r="AA287" s="96"/>
      <c r="AB287" s="97"/>
      <c r="AC287" s="280"/>
      <c r="AD287" s="280"/>
      <c r="AE287" s="278"/>
      <c r="AF287" s="278"/>
      <c r="AG287" s="278"/>
      <c r="AH287" s="278"/>
      <c r="AI287" s="120"/>
      <c r="AJ287" s="96"/>
      <c r="AK287" s="97"/>
      <c r="AL287" s="22"/>
      <c r="AM287" s="151"/>
      <c r="AN287" s="151"/>
      <c r="AO287" s="151"/>
      <c r="AP287" s="151"/>
      <c r="AQ287" s="151"/>
      <c r="AR287" s="151"/>
      <c r="AS287" s="13"/>
      <c r="AT287" s="95"/>
      <c r="AU287" s="96"/>
      <c r="AV287" s="97"/>
    </row>
    <row r="288" spans="1:48" x14ac:dyDescent="0.25">
      <c r="A288" s="11" t="s">
        <v>1278</v>
      </c>
      <c r="B288" s="60" t="s">
        <v>404</v>
      </c>
      <c r="C288" s="62"/>
      <c r="D288" s="1">
        <f t="shared" si="100"/>
        <v>7</v>
      </c>
      <c r="H288" s="280"/>
      <c r="J288" s="246">
        <f>7</f>
        <v>7</v>
      </c>
      <c r="K288" s="246"/>
      <c r="L288" s="246"/>
      <c r="M288" s="246"/>
      <c r="N288" s="267">
        <f t="shared" ref="N288:N292" si="101">AB288</f>
        <v>0</v>
      </c>
      <c r="P288" s="96">
        <f t="shared" ref="P288:P292" si="102">I288+J288+K288+L288+M288+N288</f>
        <v>7</v>
      </c>
      <c r="Q288" s="97">
        <f t="shared" ref="Q288:Q292" si="103">IF(C288=2013, P288/3,P288)+O288</f>
        <v>7</v>
      </c>
      <c r="R288" s="246"/>
      <c r="S288" s="246"/>
      <c r="T288" s="246"/>
      <c r="U288" s="246"/>
      <c r="V288" s="246"/>
      <c r="W288" s="246"/>
      <c r="X288" s="246"/>
      <c r="Y288" s="246"/>
      <c r="Z288" s="152"/>
      <c r="AA288" s="96"/>
      <c r="AB288" s="97"/>
      <c r="AC288" s="248"/>
      <c r="AD288" s="248"/>
      <c r="AE288" s="246"/>
      <c r="AF288" s="246"/>
      <c r="AG288" s="246"/>
      <c r="AH288" s="246"/>
      <c r="AI288" s="120"/>
      <c r="AJ288" s="96"/>
      <c r="AK288" s="97"/>
      <c r="AL288" s="22"/>
      <c r="AM288" s="151"/>
      <c r="AN288" s="151"/>
      <c r="AO288" s="151"/>
      <c r="AP288" s="151"/>
      <c r="AQ288" s="151"/>
      <c r="AR288" s="151"/>
      <c r="AS288" s="13"/>
      <c r="AT288" s="95"/>
      <c r="AU288" s="96"/>
      <c r="AV288" s="97"/>
    </row>
    <row r="289" spans="1:48" x14ac:dyDescent="0.25">
      <c r="A289" s="11" t="s">
        <v>1263</v>
      </c>
      <c r="B289" s="66" t="s">
        <v>834</v>
      </c>
      <c r="C289" s="62"/>
      <c r="D289" s="1">
        <f t="shared" si="100"/>
        <v>42</v>
      </c>
      <c r="H289" s="280"/>
      <c r="I289" s="261">
        <v>23</v>
      </c>
      <c r="J289" s="246">
        <v>19</v>
      </c>
      <c r="N289" s="267">
        <f t="shared" si="101"/>
        <v>0</v>
      </c>
      <c r="P289" s="96">
        <f t="shared" si="102"/>
        <v>42</v>
      </c>
      <c r="Q289" s="97">
        <f t="shared" si="103"/>
        <v>42</v>
      </c>
      <c r="T289" s="201"/>
      <c r="U289" s="201"/>
      <c r="V289" s="201"/>
      <c r="W289" s="201"/>
      <c r="X289" s="201"/>
      <c r="Z289" s="152"/>
      <c r="AA289" s="96"/>
      <c r="AB289" s="97"/>
      <c r="AC289" s="263"/>
      <c r="AD289" s="263"/>
      <c r="AE289" s="201"/>
      <c r="AF289" s="201"/>
      <c r="AG289" s="201"/>
      <c r="AH289" s="201"/>
      <c r="AI289" s="120"/>
      <c r="AJ289" s="96"/>
      <c r="AK289" s="97"/>
      <c r="AL289" s="22"/>
      <c r="AM289" s="151"/>
      <c r="AN289" s="151"/>
      <c r="AO289" s="151"/>
      <c r="AP289" s="151"/>
      <c r="AQ289" s="151"/>
      <c r="AR289" s="151"/>
      <c r="AS289" s="13"/>
      <c r="AT289" s="95"/>
      <c r="AU289" s="96"/>
      <c r="AV289" s="97"/>
    </row>
    <row r="290" spans="1:48" x14ac:dyDescent="0.25">
      <c r="A290" s="11" t="s">
        <v>1325</v>
      </c>
      <c r="B290" s="11" t="s">
        <v>1327</v>
      </c>
      <c r="D290" s="1">
        <f t="shared" si="100"/>
        <v>13</v>
      </c>
      <c r="I290" s="261">
        <f>13</f>
        <v>13</v>
      </c>
      <c r="M290" s="228"/>
      <c r="N290" s="267">
        <f t="shared" si="101"/>
        <v>0</v>
      </c>
      <c r="P290" s="96">
        <f t="shared" si="102"/>
        <v>13</v>
      </c>
      <c r="Q290" s="97">
        <f t="shared" si="103"/>
        <v>13</v>
      </c>
      <c r="R290" s="228"/>
      <c r="S290" s="228"/>
      <c r="T290" s="228"/>
      <c r="U290" s="228"/>
      <c r="V290" s="228"/>
      <c r="W290" s="228"/>
      <c r="X290" s="228"/>
      <c r="Y290" s="228"/>
      <c r="Z290" s="261"/>
      <c r="AE290" s="228"/>
      <c r="AF290" s="228"/>
      <c r="AG290" s="228"/>
      <c r="AH290" s="228"/>
      <c r="AI290" s="261"/>
      <c r="AL290" s="259"/>
      <c r="AM290" s="261"/>
      <c r="AN290" s="261"/>
      <c r="AO290" s="261"/>
      <c r="AP290" s="261"/>
      <c r="AQ290" s="261"/>
      <c r="AR290" s="261"/>
      <c r="AS290" s="259"/>
    </row>
    <row r="291" spans="1:48" x14ac:dyDescent="0.25">
      <c r="A291" s="11" t="s">
        <v>1320</v>
      </c>
      <c r="B291" s="11" t="s">
        <v>1316</v>
      </c>
      <c r="C291" s="3">
        <v>2014</v>
      </c>
      <c r="D291" s="1">
        <f t="shared" si="100"/>
        <v>95</v>
      </c>
      <c r="E291" s="283">
        <f>44+12</f>
        <v>56</v>
      </c>
      <c r="I291" s="261">
        <f>19+20</f>
        <v>39</v>
      </c>
      <c r="K291" s="246"/>
      <c r="L291" s="246"/>
      <c r="M291" s="246"/>
      <c r="N291" s="267">
        <f t="shared" si="101"/>
        <v>0</v>
      </c>
      <c r="P291" s="96">
        <f t="shared" si="102"/>
        <v>39</v>
      </c>
      <c r="Q291" s="97">
        <f t="shared" si="103"/>
        <v>39</v>
      </c>
      <c r="R291" s="246"/>
      <c r="S291" s="246"/>
      <c r="T291" s="246"/>
      <c r="U291" s="246"/>
      <c r="V291" s="246"/>
      <c r="W291" s="246"/>
      <c r="X291" s="246"/>
      <c r="Y291" s="246"/>
      <c r="Z291" s="261"/>
      <c r="AE291" s="246"/>
      <c r="AF291" s="246"/>
      <c r="AG291" s="246"/>
      <c r="AH291" s="246"/>
      <c r="AI291" s="261"/>
      <c r="AL291" s="259"/>
      <c r="AM291" s="261"/>
      <c r="AN291" s="261"/>
      <c r="AO291" s="261"/>
      <c r="AP291" s="261"/>
      <c r="AQ291" s="261"/>
      <c r="AR291" s="261"/>
      <c r="AS291" s="259"/>
    </row>
    <row r="292" spans="1:48" x14ac:dyDescent="0.25">
      <c r="A292" s="11" t="s">
        <v>1343</v>
      </c>
      <c r="B292" s="60" t="s">
        <v>1327</v>
      </c>
      <c r="C292" s="62">
        <v>2014</v>
      </c>
      <c r="D292" s="1">
        <f t="shared" si="100"/>
        <v>64</v>
      </c>
      <c r="E292" s="283">
        <f>34</f>
        <v>34</v>
      </c>
      <c r="I292" s="261">
        <f>30</f>
        <v>30</v>
      </c>
      <c r="J292" s="261"/>
      <c r="K292" s="261"/>
      <c r="L292" s="261"/>
      <c r="M292" s="261"/>
      <c r="N292" s="267">
        <f t="shared" si="101"/>
        <v>0</v>
      </c>
      <c r="P292" s="96">
        <f t="shared" si="102"/>
        <v>30</v>
      </c>
      <c r="Q292" s="97">
        <f t="shared" si="103"/>
        <v>30</v>
      </c>
      <c r="R292" s="261"/>
      <c r="S292" s="261"/>
      <c r="T292" s="261"/>
      <c r="U292" s="261"/>
      <c r="V292" s="261"/>
      <c r="W292" s="261"/>
      <c r="X292" s="261"/>
      <c r="Y292" s="261"/>
      <c r="Z292" s="152"/>
      <c r="AA292" s="96"/>
      <c r="AB292" s="97"/>
      <c r="AE292" s="261"/>
      <c r="AF292" s="261"/>
      <c r="AG292" s="261"/>
      <c r="AH292" s="261"/>
      <c r="AI292" s="120"/>
      <c r="AJ292" s="96"/>
      <c r="AK292" s="97"/>
      <c r="AL292" s="22"/>
      <c r="AM292" s="151"/>
      <c r="AN292" s="151"/>
      <c r="AO292" s="151"/>
      <c r="AP292" s="151"/>
      <c r="AQ292" s="151"/>
      <c r="AR292" s="151"/>
      <c r="AS292" s="13"/>
      <c r="AT292" s="95"/>
      <c r="AU292" s="96"/>
      <c r="AV292" s="97"/>
    </row>
    <row r="293" spans="1:48" x14ac:dyDescent="0.25">
      <c r="A293" s="11" t="s">
        <v>1366</v>
      </c>
      <c r="B293" s="60" t="s">
        <v>63</v>
      </c>
      <c r="C293" s="62">
        <v>2015</v>
      </c>
      <c r="D293" s="1">
        <f t="shared" si="100"/>
        <v>62</v>
      </c>
      <c r="E293" s="283">
        <f>45</f>
        <v>45</v>
      </c>
      <c r="F293" s="278">
        <f>17</f>
        <v>17</v>
      </c>
      <c r="I293" s="278"/>
      <c r="J293" s="278"/>
      <c r="K293" s="278"/>
      <c r="L293" s="278"/>
      <c r="M293" s="278"/>
      <c r="N293" s="278"/>
      <c r="P293" s="96"/>
      <c r="Q293" s="97"/>
      <c r="R293" s="278"/>
      <c r="S293" s="278"/>
      <c r="T293" s="278"/>
      <c r="U293" s="278"/>
      <c r="V293" s="278"/>
      <c r="W293" s="278"/>
      <c r="X293" s="278"/>
      <c r="Y293" s="278"/>
      <c r="Z293" s="152"/>
      <c r="AA293" s="96"/>
      <c r="AB293" s="97"/>
      <c r="AE293" s="278"/>
      <c r="AF293" s="278"/>
      <c r="AG293" s="278"/>
      <c r="AH293" s="278"/>
      <c r="AI293" s="120"/>
      <c r="AJ293" s="96"/>
      <c r="AK293" s="97"/>
      <c r="AL293" s="22"/>
      <c r="AM293" s="151"/>
      <c r="AN293" s="151"/>
      <c r="AO293" s="151"/>
      <c r="AP293" s="151"/>
      <c r="AQ293" s="151"/>
      <c r="AR293" s="151"/>
      <c r="AS293" s="13"/>
      <c r="AT293" s="95"/>
      <c r="AU293" s="96"/>
      <c r="AV293" s="97"/>
    </row>
    <row r="294" spans="1:48" x14ac:dyDescent="0.25">
      <c r="A294" s="11" t="s">
        <v>1314</v>
      </c>
      <c r="B294" s="11" t="s">
        <v>36</v>
      </c>
      <c r="C294" s="3">
        <v>2015</v>
      </c>
      <c r="D294" s="1">
        <f t="shared" si="100"/>
        <v>117</v>
      </c>
      <c r="E294" s="283">
        <f>49+11</f>
        <v>60</v>
      </c>
      <c r="F294" s="278">
        <f>20+6</f>
        <v>26</v>
      </c>
      <c r="I294" s="261">
        <f>31</f>
        <v>31</v>
      </c>
      <c r="M294" s="228"/>
      <c r="N294" s="267">
        <f t="shared" ref="N294:N296" si="104">AB294</f>
        <v>0</v>
      </c>
      <c r="P294" s="96">
        <f t="shared" ref="P294:P296" si="105">I294+J294+K294+L294+M294+N294</f>
        <v>31</v>
      </c>
      <c r="Q294" s="97">
        <f t="shared" ref="Q294:Q296" si="106">IF(C294=2013, P294/3,P294)+O294</f>
        <v>31</v>
      </c>
      <c r="R294" s="228"/>
      <c r="S294" s="228"/>
      <c r="T294" s="228"/>
      <c r="U294" s="228"/>
      <c r="V294" s="228"/>
      <c r="W294" s="228"/>
      <c r="X294" s="228"/>
      <c r="Y294" s="228"/>
      <c r="Z294" s="261"/>
      <c r="AE294" s="228"/>
      <c r="AF294" s="228"/>
      <c r="AG294" s="228"/>
      <c r="AH294" s="228"/>
      <c r="AI294" s="261"/>
      <c r="AL294" s="259"/>
      <c r="AM294" s="261"/>
      <c r="AN294" s="261"/>
      <c r="AO294" s="261"/>
      <c r="AP294" s="261"/>
      <c r="AQ294" s="261"/>
      <c r="AR294" s="261"/>
      <c r="AS294" s="259"/>
    </row>
    <row r="295" spans="1:48" x14ac:dyDescent="0.25">
      <c r="A295" s="11" t="s">
        <v>1318</v>
      </c>
      <c r="B295" s="11" t="s">
        <v>1315</v>
      </c>
      <c r="D295" s="1">
        <f t="shared" si="100"/>
        <v>23</v>
      </c>
      <c r="I295" s="261">
        <f>23</f>
        <v>23</v>
      </c>
      <c r="M295" s="228"/>
      <c r="N295" s="267">
        <f t="shared" si="104"/>
        <v>0</v>
      </c>
      <c r="P295" s="96">
        <f t="shared" si="105"/>
        <v>23</v>
      </c>
      <c r="Q295" s="97">
        <f t="shared" si="106"/>
        <v>23</v>
      </c>
      <c r="R295" s="228"/>
      <c r="S295" s="228"/>
      <c r="T295" s="228"/>
      <c r="U295" s="228"/>
      <c r="V295" s="228"/>
      <c r="W295" s="228"/>
      <c r="X295" s="228"/>
      <c r="Z295" s="261"/>
      <c r="AE295" s="168"/>
      <c r="AF295" s="168"/>
      <c r="AG295" s="168"/>
      <c r="AH295" s="168"/>
      <c r="AI295" s="261"/>
      <c r="AL295" s="259"/>
      <c r="AM295" s="261"/>
      <c r="AN295" s="261"/>
      <c r="AO295" s="261"/>
      <c r="AP295" s="261"/>
      <c r="AQ295" s="261"/>
      <c r="AR295" s="261"/>
      <c r="AS295" s="259"/>
    </row>
    <row r="296" spans="1:48" x14ac:dyDescent="0.25">
      <c r="A296" s="11" t="s">
        <v>1267</v>
      </c>
      <c r="B296" s="60" t="s">
        <v>834</v>
      </c>
      <c r="C296" s="62"/>
      <c r="D296" s="1">
        <f t="shared" si="100"/>
        <v>0</v>
      </c>
      <c r="I296" s="261">
        <f>0</f>
        <v>0</v>
      </c>
      <c r="J296" s="261">
        <f>0</f>
        <v>0</v>
      </c>
      <c r="K296" s="261"/>
      <c r="L296" s="261"/>
      <c r="M296" s="261"/>
      <c r="N296" s="267">
        <f t="shared" si="104"/>
        <v>0</v>
      </c>
      <c r="P296" s="96">
        <f t="shared" si="105"/>
        <v>0</v>
      </c>
      <c r="Q296" s="97">
        <f t="shared" si="106"/>
        <v>0</v>
      </c>
      <c r="R296" s="261"/>
      <c r="S296" s="261"/>
      <c r="T296" s="261"/>
      <c r="U296" s="261"/>
      <c r="V296" s="261"/>
      <c r="W296" s="261"/>
      <c r="X296" s="261"/>
      <c r="Y296" s="228"/>
      <c r="Z296" s="152"/>
      <c r="AA296" s="96"/>
      <c r="AB296" s="97"/>
      <c r="AE296" s="228"/>
      <c r="AF296" s="228"/>
      <c r="AG296" s="228"/>
      <c r="AH296" s="228"/>
      <c r="AI296" s="120"/>
      <c r="AJ296" s="96"/>
      <c r="AK296" s="97"/>
      <c r="AL296" s="22"/>
      <c r="AM296" s="151"/>
      <c r="AN296" s="151"/>
      <c r="AO296" s="151"/>
      <c r="AP296" s="151"/>
      <c r="AQ296" s="151"/>
      <c r="AR296" s="151"/>
      <c r="AS296" s="13"/>
      <c r="AT296" s="95"/>
      <c r="AU296" s="96"/>
      <c r="AV296" s="97"/>
    </row>
    <row r="297" spans="1:48" x14ac:dyDescent="0.25">
      <c r="A297" s="11" t="s">
        <v>1402</v>
      </c>
      <c r="B297" s="60" t="s">
        <v>0</v>
      </c>
      <c r="C297" s="62">
        <v>2016</v>
      </c>
      <c r="D297" s="1">
        <f t="shared" si="100"/>
        <v>47</v>
      </c>
      <c r="E297" s="283">
        <f>47</f>
        <v>47</v>
      </c>
      <c r="F297" s="283"/>
      <c r="I297" s="283"/>
      <c r="J297" s="283"/>
      <c r="K297" s="283"/>
      <c r="L297" s="283"/>
      <c r="M297" s="283"/>
      <c r="N297" s="283"/>
      <c r="P297" s="96"/>
      <c r="Q297" s="97"/>
      <c r="R297" s="283"/>
      <c r="S297" s="283"/>
      <c r="T297" s="283"/>
      <c r="U297" s="283"/>
      <c r="V297" s="283"/>
      <c r="W297" s="283"/>
      <c r="X297" s="283"/>
      <c r="Y297" s="283"/>
      <c r="Z297" s="152"/>
      <c r="AA297" s="96"/>
      <c r="AB297" s="97"/>
      <c r="AE297" s="283"/>
      <c r="AF297" s="283"/>
      <c r="AG297" s="283"/>
      <c r="AH297" s="283"/>
      <c r="AI297" s="120"/>
      <c r="AJ297" s="96"/>
      <c r="AK297" s="97"/>
      <c r="AL297" s="22"/>
      <c r="AM297" s="151"/>
      <c r="AN297" s="151"/>
      <c r="AO297" s="151"/>
      <c r="AP297" s="151"/>
      <c r="AQ297" s="151"/>
      <c r="AR297" s="151"/>
      <c r="AS297" s="13"/>
      <c r="AT297" s="95"/>
      <c r="AU297" s="96"/>
      <c r="AV297" s="97"/>
    </row>
    <row r="298" spans="1:48" x14ac:dyDescent="0.25">
      <c r="A298" s="11" t="s">
        <v>1411</v>
      </c>
      <c r="B298" s="60" t="s">
        <v>1336</v>
      </c>
      <c r="C298" s="62">
        <v>2015</v>
      </c>
      <c r="D298" s="1">
        <f t="shared" si="100"/>
        <v>10</v>
      </c>
      <c r="E298" s="283">
        <f>10</f>
        <v>10</v>
      </c>
      <c r="F298" s="283"/>
      <c r="I298" s="283"/>
      <c r="J298" s="283"/>
      <c r="K298" s="283"/>
      <c r="L298" s="283"/>
      <c r="M298" s="283"/>
      <c r="N298" s="283"/>
      <c r="P298" s="96"/>
      <c r="Q298" s="97"/>
      <c r="R298" s="283"/>
      <c r="S298" s="283"/>
      <c r="T298" s="283"/>
      <c r="U298" s="283"/>
      <c r="V298" s="283"/>
      <c r="W298" s="283"/>
      <c r="X298" s="283"/>
      <c r="Y298" s="283"/>
      <c r="Z298" s="152"/>
      <c r="AA298" s="96"/>
      <c r="AB298" s="97"/>
      <c r="AE298" s="283"/>
      <c r="AF298" s="283"/>
      <c r="AG298" s="283"/>
      <c r="AH298" s="283"/>
      <c r="AI298" s="120"/>
      <c r="AJ298" s="96"/>
      <c r="AK298" s="97"/>
      <c r="AL298" s="22"/>
      <c r="AM298" s="151"/>
      <c r="AN298" s="151"/>
      <c r="AO298" s="151"/>
      <c r="AP298" s="151"/>
      <c r="AQ298" s="151"/>
      <c r="AR298" s="151"/>
      <c r="AS298" s="13"/>
      <c r="AT298" s="95"/>
      <c r="AU298" s="96"/>
      <c r="AV298" s="97"/>
    </row>
    <row r="299" spans="1:48" x14ac:dyDescent="0.25">
      <c r="A299" s="11" t="s">
        <v>1346</v>
      </c>
      <c r="B299" s="11" t="s">
        <v>1315</v>
      </c>
      <c r="D299" s="1">
        <f t="shared" si="100"/>
        <v>0</v>
      </c>
      <c r="I299" s="261">
        <f>0</f>
        <v>0</v>
      </c>
      <c r="J299" s="261"/>
      <c r="K299" s="261"/>
      <c r="L299" s="261"/>
      <c r="M299" s="261"/>
      <c r="N299" s="267">
        <f t="shared" ref="N299:N302" si="107">AB299</f>
        <v>0</v>
      </c>
      <c r="P299" s="96">
        <f t="shared" ref="P299:P302" si="108">I299+J299+K299+L299+M299+N299</f>
        <v>0</v>
      </c>
      <c r="Q299" s="97">
        <f t="shared" ref="Q299:Q302" si="109">IF(C299=2013, P299/3,P299)+O299</f>
        <v>0</v>
      </c>
      <c r="R299" s="261"/>
      <c r="S299" s="261"/>
      <c r="T299" s="261"/>
      <c r="U299" s="261"/>
      <c r="V299" s="261"/>
      <c r="W299" s="261"/>
      <c r="X299" s="261"/>
      <c r="Y299" s="261"/>
      <c r="Z299" s="261"/>
      <c r="AE299" s="261"/>
      <c r="AF299" s="261"/>
      <c r="AG299" s="261"/>
      <c r="AH299" s="261"/>
      <c r="AI299" s="261"/>
      <c r="AL299" s="259"/>
      <c r="AM299" s="261"/>
      <c r="AN299" s="261"/>
      <c r="AO299" s="261"/>
      <c r="AP299" s="261"/>
      <c r="AQ299" s="261"/>
      <c r="AR299" s="261"/>
      <c r="AS299" s="259"/>
    </row>
    <row r="300" spans="1:48" x14ac:dyDescent="0.25">
      <c r="A300" s="11" t="s">
        <v>1341</v>
      </c>
      <c r="B300" s="11" t="s">
        <v>1339</v>
      </c>
      <c r="D300" s="1">
        <f t="shared" si="100"/>
        <v>0</v>
      </c>
      <c r="I300" s="261">
        <f>0</f>
        <v>0</v>
      </c>
      <c r="J300" s="261"/>
      <c r="K300" s="261"/>
      <c r="L300" s="261"/>
      <c r="M300" s="261"/>
      <c r="N300" s="267">
        <f t="shared" si="107"/>
        <v>0</v>
      </c>
      <c r="P300" s="96">
        <f t="shared" si="108"/>
        <v>0</v>
      </c>
      <c r="Q300" s="97">
        <f t="shared" si="109"/>
        <v>0</v>
      </c>
      <c r="R300" s="261"/>
      <c r="S300" s="261"/>
      <c r="T300" s="261"/>
      <c r="U300" s="261"/>
      <c r="V300" s="261"/>
      <c r="W300" s="261"/>
      <c r="X300" s="261"/>
      <c r="Y300" s="261"/>
      <c r="Z300" s="261"/>
      <c r="AE300" s="261"/>
      <c r="AF300" s="261"/>
      <c r="AG300" s="261"/>
      <c r="AH300" s="261"/>
      <c r="AI300" s="261"/>
      <c r="AL300" s="259"/>
      <c r="AM300" s="261"/>
      <c r="AN300" s="261"/>
      <c r="AO300" s="261"/>
      <c r="AP300" s="261"/>
      <c r="AQ300" s="261"/>
      <c r="AR300" s="261"/>
      <c r="AS300" s="259"/>
    </row>
    <row r="301" spans="1:48" x14ac:dyDescent="0.25">
      <c r="A301" s="11" t="s">
        <v>1345</v>
      </c>
      <c r="B301" s="11" t="s">
        <v>1339</v>
      </c>
      <c r="D301" s="1">
        <f t="shared" si="100"/>
        <v>0</v>
      </c>
      <c r="I301" s="261">
        <f>0</f>
        <v>0</v>
      </c>
      <c r="J301" s="261"/>
      <c r="K301" s="261"/>
      <c r="L301" s="261"/>
      <c r="M301" s="261"/>
      <c r="N301" s="267">
        <f t="shared" si="107"/>
        <v>0</v>
      </c>
      <c r="P301" s="96">
        <f t="shared" si="108"/>
        <v>0</v>
      </c>
      <c r="Q301" s="97">
        <f t="shared" si="109"/>
        <v>0</v>
      </c>
      <c r="R301" s="261"/>
      <c r="S301" s="261"/>
      <c r="T301" s="261"/>
      <c r="U301" s="261"/>
      <c r="V301" s="261"/>
      <c r="W301" s="261"/>
      <c r="X301" s="261"/>
      <c r="Y301" s="261"/>
      <c r="Z301" s="261"/>
      <c r="AE301" s="261"/>
      <c r="AF301" s="261"/>
      <c r="AG301" s="261"/>
      <c r="AH301" s="261"/>
      <c r="AI301" s="261"/>
      <c r="AL301" s="259"/>
      <c r="AM301" s="261"/>
      <c r="AN301" s="261"/>
      <c r="AO301" s="261"/>
      <c r="AP301" s="261"/>
      <c r="AQ301" s="261"/>
      <c r="AR301" s="261"/>
      <c r="AS301" s="259"/>
    </row>
    <row r="302" spans="1:48" x14ac:dyDescent="0.25">
      <c r="A302" s="11" t="s">
        <v>1397</v>
      </c>
      <c r="B302" s="11" t="s">
        <v>1309</v>
      </c>
      <c r="C302" s="3">
        <v>2017</v>
      </c>
      <c r="D302" s="1">
        <f t="shared" si="100"/>
        <v>41</v>
      </c>
      <c r="E302" s="283">
        <f>10+8</f>
        <v>18</v>
      </c>
      <c r="I302" s="261">
        <f>23</f>
        <v>23</v>
      </c>
      <c r="J302" s="261"/>
      <c r="K302" s="261"/>
      <c r="L302" s="261"/>
      <c r="M302" s="261"/>
      <c r="N302" s="267">
        <f t="shared" si="107"/>
        <v>0</v>
      </c>
      <c r="P302" s="96">
        <f t="shared" si="108"/>
        <v>23</v>
      </c>
      <c r="Q302" s="97">
        <f t="shared" si="109"/>
        <v>23</v>
      </c>
      <c r="R302" s="261"/>
      <c r="S302" s="261"/>
      <c r="T302" s="261"/>
      <c r="U302" s="261"/>
      <c r="V302" s="261"/>
      <c r="W302" s="261"/>
      <c r="X302" s="261"/>
      <c r="Y302" s="228"/>
      <c r="Z302" s="261"/>
      <c r="AE302" s="261"/>
      <c r="AF302" s="261"/>
      <c r="AG302" s="261"/>
      <c r="AH302" s="261"/>
      <c r="AI302" s="261"/>
      <c r="AL302" s="259"/>
      <c r="AM302" s="261"/>
      <c r="AN302" s="261"/>
      <c r="AO302" s="261"/>
      <c r="AP302" s="261"/>
      <c r="AQ302" s="261"/>
      <c r="AR302" s="261"/>
      <c r="AS302" s="259"/>
    </row>
    <row r="303" spans="1:48" x14ac:dyDescent="0.25">
      <c r="A303" s="11" t="s">
        <v>1408</v>
      </c>
      <c r="B303" s="11" t="s">
        <v>231</v>
      </c>
      <c r="C303" s="3">
        <v>2015</v>
      </c>
      <c r="D303" s="1">
        <f t="shared" si="100"/>
        <v>10</v>
      </c>
      <c r="E303" s="283">
        <v>10</v>
      </c>
      <c r="F303" s="283"/>
      <c r="I303" s="283"/>
      <c r="J303" s="283"/>
      <c r="K303" s="283"/>
      <c r="L303" s="283"/>
      <c r="M303" s="283"/>
      <c r="N303" s="283"/>
      <c r="P303" s="96"/>
      <c r="Q303" s="97"/>
      <c r="R303" s="283"/>
      <c r="S303" s="283"/>
      <c r="T303" s="283"/>
      <c r="U303" s="283"/>
      <c r="V303" s="283"/>
      <c r="W303" s="283"/>
      <c r="X303" s="283"/>
      <c r="Y303" s="283"/>
      <c r="Z303" s="283"/>
      <c r="AE303" s="283"/>
      <c r="AF303" s="283"/>
      <c r="AG303" s="283"/>
      <c r="AH303" s="283"/>
      <c r="AI303" s="283"/>
      <c r="AL303" s="282"/>
      <c r="AM303" s="283"/>
      <c r="AN303" s="283"/>
      <c r="AO303" s="283"/>
      <c r="AP303" s="283"/>
      <c r="AQ303" s="283"/>
      <c r="AR303" s="283"/>
      <c r="AS303" s="282"/>
    </row>
    <row r="304" spans="1:48" x14ac:dyDescent="0.25">
      <c r="A304" s="11" t="s">
        <v>1344</v>
      </c>
      <c r="B304" s="66" t="s">
        <v>1327</v>
      </c>
      <c r="D304" s="1">
        <f t="shared" si="100"/>
        <v>16</v>
      </c>
      <c r="I304" s="261">
        <f>16</f>
        <v>16</v>
      </c>
      <c r="J304" s="261"/>
      <c r="K304" s="261"/>
      <c r="L304" s="261"/>
      <c r="M304" s="261"/>
      <c r="N304" s="267">
        <f>AB304</f>
        <v>0</v>
      </c>
      <c r="P304" s="96">
        <f>I304+J304+K304+L304+M304+N304</f>
        <v>16</v>
      </c>
      <c r="Q304" s="97">
        <f>IF(C304=2013, P304/3,P304)+O304</f>
        <v>16</v>
      </c>
      <c r="R304" s="261"/>
      <c r="S304" s="261"/>
      <c r="T304" s="261"/>
      <c r="U304" s="261"/>
      <c r="V304" s="261"/>
      <c r="W304" s="261"/>
      <c r="X304" s="261"/>
      <c r="Y304" s="261"/>
      <c r="Z304" s="152"/>
      <c r="AA304" s="96"/>
      <c r="AB304" s="97"/>
      <c r="AE304" s="261"/>
      <c r="AF304" s="261"/>
      <c r="AG304" s="261"/>
      <c r="AH304" s="261"/>
      <c r="AI304" s="120"/>
      <c r="AJ304" s="96"/>
      <c r="AK304" s="97"/>
      <c r="AL304" s="22"/>
      <c r="AM304" s="261"/>
      <c r="AN304" s="261"/>
      <c r="AO304" s="261"/>
      <c r="AP304" s="261"/>
      <c r="AQ304" s="261"/>
      <c r="AR304" s="261"/>
      <c r="AS304" s="259"/>
      <c r="AT304" s="95"/>
      <c r="AU304" s="96"/>
      <c r="AV304" s="97"/>
    </row>
    <row r="305" spans="1:48" x14ac:dyDescent="0.25">
      <c r="A305" s="11" t="s">
        <v>1334</v>
      </c>
      <c r="B305" s="11" t="s">
        <v>1309</v>
      </c>
      <c r="C305" s="3">
        <v>2016</v>
      </c>
      <c r="D305" s="1">
        <f t="shared" si="100"/>
        <v>10</v>
      </c>
      <c r="E305" s="283">
        <f>10</f>
        <v>10</v>
      </c>
      <c r="I305" s="261">
        <f>0</f>
        <v>0</v>
      </c>
      <c r="N305" s="267">
        <f>AB305</f>
        <v>0</v>
      </c>
      <c r="P305" s="96">
        <f>I305+J305+K305+L305+M305+N305</f>
        <v>0</v>
      </c>
      <c r="Q305" s="97">
        <f>IF(C305=2013, P305/3,P305)+O305</f>
        <v>0</v>
      </c>
      <c r="T305" s="201"/>
      <c r="U305" s="201"/>
      <c r="V305" s="201"/>
      <c r="W305" s="201"/>
      <c r="X305" s="201"/>
      <c r="Z305" s="241"/>
      <c r="AE305" s="201"/>
      <c r="AF305" s="201"/>
      <c r="AG305" s="201"/>
      <c r="AH305" s="201"/>
      <c r="AI305" s="241"/>
      <c r="AL305" s="240"/>
      <c r="AM305" s="241"/>
      <c r="AN305" s="241"/>
      <c r="AO305" s="241"/>
      <c r="AP305" s="241"/>
      <c r="AQ305" s="241"/>
      <c r="AR305" s="241"/>
      <c r="AS305" s="240"/>
    </row>
    <row r="306" spans="1:48" x14ac:dyDescent="0.25">
      <c r="A306" s="11" t="s">
        <v>1368</v>
      </c>
      <c r="B306" s="66" t="s">
        <v>1369</v>
      </c>
      <c r="C306" s="3">
        <v>2016</v>
      </c>
      <c r="D306" s="1">
        <f t="shared" ref="D306:D334" si="110">Q306+F306+E306</f>
        <v>28</v>
      </c>
      <c r="E306" s="283">
        <f>10</f>
        <v>10</v>
      </c>
      <c r="F306" s="278">
        <f>14+4</f>
        <v>18</v>
      </c>
      <c r="I306" s="278"/>
      <c r="J306" s="278"/>
      <c r="K306" s="278"/>
      <c r="L306" s="278"/>
      <c r="M306" s="278"/>
      <c r="N306" s="278"/>
      <c r="P306" s="96"/>
      <c r="Q306" s="97"/>
      <c r="R306" s="278"/>
      <c r="S306" s="278"/>
      <c r="T306" s="278"/>
      <c r="U306" s="278"/>
      <c r="V306" s="278"/>
      <c r="W306" s="278"/>
      <c r="X306" s="278"/>
      <c r="Y306" s="278"/>
      <c r="Z306" s="152"/>
      <c r="AA306" s="96"/>
      <c r="AB306" s="97"/>
      <c r="AE306" s="278"/>
      <c r="AF306" s="278"/>
      <c r="AG306" s="278"/>
      <c r="AH306" s="278"/>
      <c r="AI306" s="120"/>
      <c r="AJ306" s="96"/>
      <c r="AK306" s="97"/>
      <c r="AL306" s="22"/>
      <c r="AM306" s="278"/>
      <c r="AN306" s="278"/>
      <c r="AO306" s="278"/>
      <c r="AP306" s="278"/>
      <c r="AQ306" s="278"/>
      <c r="AR306" s="278"/>
      <c r="AS306" s="275"/>
      <c r="AT306" s="95"/>
      <c r="AU306" s="96"/>
      <c r="AV306" s="97"/>
    </row>
    <row r="307" spans="1:48" x14ac:dyDescent="0.25">
      <c r="A307" s="11" t="s">
        <v>1409</v>
      </c>
      <c r="B307" s="66" t="s">
        <v>1336</v>
      </c>
      <c r="C307" s="3">
        <v>2014</v>
      </c>
      <c r="D307" s="1">
        <f t="shared" si="110"/>
        <v>10</v>
      </c>
      <c r="E307" s="283">
        <f>10</f>
        <v>10</v>
      </c>
      <c r="F307" s="283"/>
      <c r="I307" s="283"/>
      <c r="J307" s="283"/>
      <c r="K307" s="283"/>
      <c r="L307" s="283"/>
      <c r="M307" s="283"/>
      <c r="N307" s="283"/>
      <c r="P307" s="96"/>
      <c r="Q307" s="97"/>
      <c r="R307" s="283"/>
      <c r="S307" s="283"/>
      <c r="T307" s="283"/>
      <c r="U307" s="283"/>
      <c r="V307" s="283"/>
      <c r="W307" s="283"/>
      <c r="X307" s="283"/>
      <c r="Y307" s="283"/>
      <c r="Z307" s="152"/>
      <c r="AA307" s="96"/>
      <c r="AB307" s="97"/>
      <c r="AE307" s="283"/>
      <c r="AF307" s="283"/>
      <c r="AG307" s="283"/>
      <c r="AH307" s="283"/>
      <c r="AI307" s="120"/>
      <c r="AJ307" s="96"/>
      <c r="AK307" s="97"/>
      <c r="AL307" s="22"/>
      <c r="AM307" s="283"/>
      <c r="AN307" s="283"/>
      <c r="AO307" s="283"/>
      <c r="AP307" s="283"/>
      <c r="AQ307" s="283"/>
      <c r="AR307" s="283"/>
      <c r="AS307" s="282"/>
      <c r="AT307" s="95"/>
      <c r="AU307" s="96"/>
      <c r="AV307" s="97"/>
    </row>
    <row r="308" spans="1:48" x14ac:dyDescent="0.25">
      <c r="A308" s="11" t="s">
        <v>1328</v>
      </c>
      <c r="B308" s="11" t="s">
        <v>834</v>
      </c>
      <c r="C308" s="3">
        <v>2017</v>
      </c>
      <c r="D308" s="1">
        <f t="shared" si="110"/>
        <v>35</v>
      </c>
      <c r="E308" s="283">
        <f>10</f>
        <v>10</v>
      </c>
      <c r="I308" s="261">
        <f>7+18</f>
        <v>25</v>
      </c>
      <c r="M308" s="228"/>
      <c r="N308" s="267">
        <f>AB308</f>
        <v>0</v>
      </c>
      <c r="P308" s="96">
        <f>I308+J308+K308+L308+M308+N308</f>
        <v>25</v>
      </c>
      <c r="Q308" s="97">
        <f>IF(C308=2013, P308/3,P308)+O308</f>
        <v>25</v>
      </c>
      <c r="R308" s="228"/>
      <c r="S308" s="228"/>
      <c r="T308" s="228"/>
      <c r="U308" s="228"/>
      <c r="V308" s="228"/>
      <c r="W308" s="228"/>
      <c r="X308" s="228"/>
      <c r="Y308" s="228"/>
      <c r="Z308" s="261"/>
      <c r="AE308" s="228"/>
      <c r="AF308" s="228"/>
      <c r="AG308" s="228"/>
      <c r="AH308" s="228"/>
      <c r="AI308" s="261"/>
      <c r="AL308" s="259"/>
      <c r="AM308" s="228"/>
      <c r="AN308" s="228"/>
      <c r="AO308" s="228"/>
      <c r="AP308" s="228"/>
      <c r="AQ308" s="228"/>
      <c r="AR308" s="228"/>
    </row>
    <row r="309" spans="1:48" x14ac:dyDescent="0.25">
      <c r="A309" s="11" t="s">
        <v>1367</v>
      </c>
      <c r="B309" s="11" t="s">
        <v>36</v>
      </c>
      <c r="C309" s="3">
        <v>2014</v>
      </c>
      <c r="D309" s="1">
        <f t="shared" si="110"/>
        <v>59</v>
      </c>
      <c r="E309" s="283">
        <f>34+7</f>
        <v>41</v>
      </c>
      <c r="F309" s="278">
        <f>16+2</f>
        <v>18</v>
      </c>
      <c r="I309" s="278"/>
      <c r="J309" s="278"/>
      <c r="K309" s="278"/>
      <c r="L309" s="278"/>
      <c r="M309" s="278"/>
      <c r="N309" s="278"/>
      <c r="P309" s="96"/>
      <c r="Q309" s="97"/>
      <c r="R309" s="278"/>
      <c r="S309" s="278"/>
      <c r="T309" s="278"/>
      <c r="U309" s="278"/>
      <c r="V309" s="278"/>
      <c r="W309" s="278"/>
      <c r="X309" s="278"/>
      <c r="Y309" s="278"/>
      <c r="Z309" s="278"/>
      <c r="AE309" s="278"/>
      <c r="AF309" s="278"/>
      <c r="AG309" s="278"/>
      <c r="AH309" s="278"/>
      <c r="AI309" s="278"/>
      <c r="AL309" s="275"/>
      <c r="AM309" s="278"/>
      <c r="AN309" s="278"/>
      <c r="AO309" s="278"/>
      <c r="AP309" s="278"/>
      <c r="AQ309" s="278"/>
      <c r="AR309" s="278"/>
      <c r="AS309" s="275"/>
    </row>
    <row r="310" spans="1:48" x14ac:dyDescent="0.25">
      <c r="A310" s="11" t="s">
        <v>1382</v>
      </c>
      <c r="B310" s="11" t="s">
        <v>63</v>
      </c>
      <c r="C310" s="3">
        <v>2017</v>
      </c>
      <c r="D310" s="1">
        <f t="shared" si="110"/>
        <v>0</v>
      </c>
      <c r="E310" s="283">
        <f>0</f>
        <v>0</v>
      </c>
      <c r="F310" s="278">
        <f>0</f>
        <v>0</v>
      </c>
      <c r="I310" s="278"/>
      <c r="J310" s="278"/>
      <c r="K310" s="278"/>
      <c r="L310" s="278"/>
      <c r="M310" s="278"/>
      <c r="N310" s="278"/>
      <c r="P310" s="96"/>
      <c r="Q310" s="97"/>
      <c r="R310" s="278"/>
      <c r="S310" s="278"/>
      <c r="T310" s="278"/>
      <c r="U310" s="278"/>
      <c r="V310" s="278"/>
      <c r="W310" s="278"/>
      <c r="X310" s="278"/>
      <c r="Y310" s="278"/>
      <c r="Z310" s="278"/>
      <c r="AE310" s="278"/>
      <c r="AF310" s="278"/>
      <c r="AG310" s="278"/>
      <c r="AH310" s="278"/>
      <c r="AI310" s="278"/>
      <c r="AL310" s="275"/>
      <c r="AM310" s="278"/>
      <c r="AN310" s="278"/>
      <c r="AO310" s="278"/>
      <c r="AP310" s="278"/>
      <c r="AQ310" s="278"/>
      <c r="AR310" s="278"/>
      <c r="AS310" s="275"/>
    </row>
    <row r="311" spans="1:48" ht="15" customHeight="1" x14ac:dyDescent="0.25">
      <c r="A311" s="11" t="s">
        <v>1331</v>
      </c>
      <c r="B311" s="11" t="s">
        <v>1309</v>
      </c>
      <c r="C311" s="3">
        <v>2015</v>
      </c>
      <c r="D311" s="1">
        <f t="shared" si="110"/>
        <v>34</v>
      </c>
      <c r="E311" s="283">
        <f>10+10</f>
        <v>20</v>
      </c>
      <c r="I311" s="261">
        <f>0+14</f>
        <v>14</v>
      </c>
      <c r="N311" s="267">
        <f>AB311</f>
        <v>0</v>
      </c>
      <c r="P311" s="96">
        <f>I311+J311+K311+L311+M311+N311</f>
        <v>14</v>
      </c>
      <c r="Q311" s="97">
        <f>IF(C311=2013, P311/3,P311)+O311</f>
        <v>14</v>
      </c>
      <c r="T311" s="201"/>
      <c r="U311" s="201"/>
      <c r="V311" s="201"/>
      <c r="W311" s="201"/>
      <c r="X311" s="201"/>
      <c r="Z311" s="241"/>
      <c r="AE311" s="201"/>
      <c r="AF311" s="201"/>
      <c r="AG311" s="201"/>
      <c r="AH311" s="201"/>
      <c r="AI311" s="241"/>
      <c r="AL311" s="240"/>
      <c r="AM311" s="241"/>
      <c r="AN311" s="241"/>
      <c r="AO311" s="241"/>
      <c r="AP311" s="241"/>
      <c r="AQ311" s="241"/>
      <c r="AR311" s="241"/>
      <c r="AS311" s="240"/>
    </row>
    <row r="312" spans="1:48" x14ac:dyDescent="0.25">
      <c r="A312" s="45" t="s">
        <v>1414</v>
      </c>
      <c r="B312" s="66" t="s">
        <v>0</v>
      </c>
      <c r="C312" s="46">
        <v>2014</v>
      </c>
      <c r="D312" s="1">
        <f t="shared" si="110"/>
        <v>0</v>
      </c>
      <c r="E312" s="108">
        <f>0</f>
        <v>0</v>
      </c>
      <c r="F312" s="108"/>
      <c r="G312" s="120">
        <f>3</f>
        <v>3</v>
      </c>
      <c r="H312" s="101"/>
      <c r="I312" s="108"/>
      <c r="J312" s="108"/>
      <c r="K312" s="108"/>
      <c r="L312" s="108"/>
      <c r="M312" s="108"/>
      <c r="N312" s="283"/>
      <c r="P312" s="96"/>
      <c r="Q312" s="97"/>
      <c r="R312" s="108"/>
      <c r="S312" s="108"/>
      <c r="T312" s="108"/>
      <c r="U312" s="108"/>
      <c r="V312" s="108"/>
      <c r="W312" s="108"/>
      <c r="X312" s="108"/>
      <c r="Y312" s="283"/>
      <c r="Z312" s="122"/>
      <c r="AA312" s="96"/>
      <c r="AB312" s="97"/>
      <c r="AC312" s="101"/>
      <c r="AD312" s="108"/>
      <c r="AE312" s="108"/>
      <c r="AF312" s="108"/>
      <c r="AG312" s="108"/>
      <c r="AH312" s="108"/>
      <c r="AI312" s="122"/>
      <c r="AJ312" s="96"/>
      <c r="AK312" s="97"/>
      <c r="AL312" s="101"/>
      <c r="AM312" s="41"/>
      <c r="AN312" s="41"/>
      <c r="AO312" s="41"/>
      <c r="AP312" s="41"/>
      <c r="AQ312" s="41"/>
      <c r="AR312" s="41"/>
      <c r="AS312" s="13"/>
    </row>
    <row r="313" spans="1:48" x14ac:dyDescent="0.25">
      <c r="A313" s="45" t="s">
        <v>1379</v>
      </c>
      <c r="B313" s="66" t="s">
        <v>63</v>
      </c>
      <c r="C313" s="46">
        <v>2015</v>
      </c>
      <c r="D313" s="1">
        <f t="shared" si="110"/>
        <v>10</v>
      </c>
      <c r="E313" s="108">
        <f>10</f>
        <v>10</v>
      </c>
      <c r="F313" s="108">
        <f>0</f>
        <v>0</v>
      </c>
      <c r="H313" s="101"/>
      <c r="I313" s="108"/>
      <c r="J313" s="108"/>
      <c r="K313" s="108"/>
      <c r="L313" s="108"/>
      <c r="M313" s="108"/>
      <c r="N313" s="278"/>
      <c r="P313" s="96"/>
      <c r="Q313" s="97"/>
      <c r="R313" s="108"/>
      <c r="S313" s="108"/>
      <c r="T313" s="108"/>
      <c r="U313" s="108"/>
      <c r="V313" s="108"/>
      <c r="W313" s="108"/>
      <c r="X313" s="108"/>
      <c r="Y313" s="278"/>
      <c r="Z313" s="122"/>
      <c r="AA313" s="96"/>
      <c r="AB313" s="97"/>
      <c r="AC313" s="101"/>
      <c r="AD313" s="108"/>
      <c r="AE313" s="108"/>
      <c r="AF313" s="108"/>
      <c r="AG313" s="108"/>
      <c r="AH313" s="108"/>
      <c r="AI313" s="122"/>
      <c r="AJ313" s="96"/>
      <c r="AK313" s="97"/>
      <c r="AL313" s="101"/>
      <c r="AM313" s="41"/>
      <c r="AN313" s="41"/>
      <c r="AO313" s="41"/>
      <c r="AP313" s="41"/>
      <c r="AQ313" s="41"/>
      <c r="AR313" s="41"/>
      <c r="AS313" s="13"/>
    </row>
    <row r="314" spans="1:48" x14ac:dyDescent="0.25">
      <c r="A314" s="45" t="s">
        <v>1365</v>
      </c>
      <c r="B314" s="66" t="s">
        <v>63</v>
      </c>
      <c r="C314" s="46">
        <v>2016</v>
      </c>
      <c r="D314" s="1">
        <f t="shared" si="110"/>
        <v>28</v>
      </c>
      <c r="E314" s="108">
        <f>10</f>
        <v>10</v>
      </c>
      <c r="F314" s="108">
        <f>18</f>
        <v>18</v>
      </c>
      <c r="H314" s="101"/>
      <c r="I314" s="108"/>
      <c r="J314" s="108"/>
      <c r="K314" s="108"/>
      <c r="L314" s="108"/>
      <c r="M314" s="108"/>
      <c r="N314" s="278"/>
      <c r="P314" s="96"/>
      <c r="Q314" s="97"/>
      <c r="R314" s="108"/>
      <c r="S314" s="108"/>
      <c r="T314" s="108"/>
      <c r="U314" s="108"/>
      <c r="V314" s="108"/>
      <c r="W314" s="108"/>
      <c r="X314" s="108"/>
      <c r="Y314" s="278"/>
      <c r="Z314" s="122"/>
      <c r="AA314" s="96"/>
      <c r="AB314" s="97"/>
      <c r="AC314" s="101"/>
      <c r="AD314" s="108"/>
      <c r="AE314" s="108"/>
      <c r="AF314" s="108"/>
      <c r="AG314" s="108"/>
      <c r="AH314" s="108"/>
      <c r="AI314" s="122"/>
      <c r="AJ314" s="96"/>
      <c r="AK314" s="97"/>
      <c r="AL314" s="101"/>
      <c r="AM314" s="41"/>
      <c r="AN314" s="41"/>
      <c r="AO314" s="41"/>
      <c r="AP314" s="41"/>
      <c r="AQ314" s="41"/>
      <c r="AR314" s="41"/>
      <c r="AS314" s="13"/>
    </row>
    <row r="315" spans="1:48" x14ac:dyDescent="0.25">
      <c r="A315" s="11" t="s">
        <v>1335</v>
      </c>
      <c r="B315" s="11" t="s">
        <v>1309</v>
      </c>
      <c r="C315" s="3">
        <v>2015</v>
      </c>
      <c r="D315" s="1">
        <f t="shared" si="110"/>
        <v>0</v>
      </c>
      <c r="E315" s="283">
        <f>0</f>
        <v>0</v>
      </c>
      <c r="I315" s="261">
        <f>0</f>
        <v>0</v>
      </c>
      <c r="J315" s="261"/>
      <c r="K315" s="261"/>
      <c r="L315" s="261"/>
      <c r="M315" s="261"/>
      <c r="N315" s="267">
        <f>AB315</f>
        <v>0</v>
      </c>
      <c r="P315" s="96">
        <f>I315+J315+K315+L315+M315+N315</f>
        <v>0</v>
      </c>
      <c r="Q315" s="97">
        <f>IF(C315=2013, P315/3,P315)+O315</f>
        <v>0</v>
      </c>
      <c r="R315" s="261"/>
      <c r="S315" s="261"/>
      <c r="T315" s="261"/>
      <c r="U315" s="261"/>
      <c r="V315" s="261"/>
      <c r="W315" s="261"/>
      <c r="X315" s="261"/>
      <c r="Z315" s="261"/>
      <c r="AE315" s="261"/>
      <c r="AF315" s="261"/>
      <c r="AG315" s="261"/>
      <c r="AH315" s="261"/>
      <c r="AI315" s="261"/>
      <c r="AL315" s="259"/>
      <c r="AM315" s="261"/>
      <c r="AN315" s="261"/>
      <c r="AO315" s="261"/>
      <c r="AP315" s="261"/>
      <c r="AQ315" s="261"/>
      <c r="AR315" s="261"/>
      <c r="AS315" s="259"/>
    </row>
    <row r="316" spans="1:48" x14ac:dyDescent="0.25">
      <c r="A316" s="11" t="s">
        <v>1333</v>
      </c>
      <c r="B316" s="11" t="s">
        <v>1309</v>
      </c>
      <c r="C316" s="3">
        <v>2016</v>
      </c>
      <c r="D316" s="1">
        <f t="shared" si="110"/>
        <v>18</v>
      </c>
      <c r="E316" s="283">
        <f>0</f>
        <v>0</v>
      </c>
      <c r="I316" s="261">
        <f>0+18</f>
        <v>18</v>
      </c>
      <c r="J316" s="261"/>
      <c r="K316" s="261"/>
      <c r="L316" s="261"/>
      <c r="M316" s="261"/>
      <c r="N316" s="267">
        <f>AB316</f>
        <v>0</v>
      </c>
      <c r="P316" s="96">
        <f>I316+J316+K316+L316+M316+N316</f>
        <v>18</v>
      </c>
      <c r="Q316" s="97">
        <f>IF(C316=2013, P316/3,P316)+O316</f>
        <v>18</v>
      </c>
      <c r="R316" s="261"/>
      <c r="S316" s="261"/>
      <c r="T316" s="261"/>
      <c r="U316" s="261"/>
      <c r="V316" s="261"/>
      <c r="W316" s="261"/>
      <c r="X316" s="261"/>
      <c r="Y316" s="241"/>
      <c r="Z316" s="261"/>
      <c r="AE316" s="261"/>
      <c r="AF316" s="261"/>
      <c r="AG316" s="261"/>
      <c r="AH316" s="261"/>
      <c r="AI316" s="261"/>
      <c r="AL316" s="259"/>
      <c r="AM316" s="261"/>
      <c r="AN316" s="261"/>
      <c r="AO316" s="261"/>
      <c r="AP316" s="261"/>
      <c r="AQ316" s="261"/>
      <c r="AR316" s="261"/>
      <c r="AS316" s="259"/>
    </row>
    <row r="317" spans="1:48" x14ac:dyDescent="0.25">
      <c r="A317" s="45" t="s">
        <v>1364</v>
      </c>
      <c r="B317" s="66" t="s">
        <v>36</v>
      </c>
      <c r="C317" s="46">
        <v>2014</v>
      </c>
      <c r="D317" s="1">
        <f t="shared" si="110"/>
        <v>65</v>
      </c>
      <c r="E317" s="108">
        <f>37+7</f>
        <v>44</v>
      </c>
      <c r="F317" s="108">
        <f>19+2</f>
        <v>21</v>
      </c>
      <c r="H317" s="101"/>
      <c r="I317" s="108"/>
      <c r="J317" s="108"/>
      <c r="K317" s="108"/>
      <c r="L317" s="108"/>
      <c r="M317" s="108"/>
      <c r="N317" s="278"/>
      <c r="P317" s="96"/>
      <c r="Q317" s="97"/>
      <c r="R317" s="108"/>
      <c r="S317" s="108"/>
      <c r="T317" s="108"/>
      <c r="U317" s="108"/>
      <c r="V317" s="108"/>
      <c r="W317" s="108"/>
      <c r="X317" s="108"/>
      <c r="Y317" s="278"/>
      <c r="Z317" s="122"/>
      <c r="AA317" s="96"/>
      <c r="AB317" s="97"/>
      <c r="AC317" s="101"/>
      <c r="AD317" s="108"/>
      <c r="AE317" s="108"/>
      <c r="AF317" s="108"/>
      <c r="AG317" s="108"/>
      <c r="AH317" s="108"/>
      <c r="AI317" s="122"/>
      <c r="AJ317" s="96"/>
      <c r="AK317" s="97"/>
      <c r="AL317" s="101"/>
      <c r="AM317" s="41"/>
      <c r="AN317" s="41"/>
      <c r="AO317" s="41"/>
      <c r="AP317" s="41"/>
      <c r="AQ317" s="41"/>
      <c r="AR317" s="41"/>
      <c r="AS317" s="13"/>
    </row>
    <row r="318" spans="1:48" x14ac:dyDescent="0.25">
      <c r="A318" s="11" t="s">
        <v>1330</v>
      </c>
      <c r="B318" s="11" t="s">
        <v>1309</v>
      </c>
      <c r="C318" s="3">
        <v>2015</v>
      </c>
      <c r="D318" s="1">
        <f t="shared" si="110"/>
        <v>41</v>
      </c>
      <c r="E318" s="283">
        <f>10+10</f>
        <v>20</v>
      </c>
      <c r="I318" s="261">
        <f>7+14</f>
        <v>21</v>
      </c>
      <c r="J318" s="261"/>
      <c r="K318" s="261"/>
      <c r="L318" s="261"/>
      <c r="M318" s="261"/>
      <c r="N318" s="267">
        <f>AB318</f>
        <v>0</v>
      </c>
      <c r="P318" s="96">
        <f>I318+J318+K318+L318+M318+N318</f>
        <v>21</v>
      </c>
      <c r="Q318" s="97">
        <f>IF(C318=2013, P318/3,P318)+O318</f>
        <v>21</v>
      </c>
      <c r="R318" s="261"/>
      <c r="S318" s="261"/>
      <c r="T318" s="261"/>
      <c r="U318" s="261"/>
      <c r="V318" s="261"/>
      <c r="W318" s="261"/>
      <c r="X318" s="261"/>
      <c r="Z318" s="261"/>
      <c r="AE318" s="261"/>
      <c r="AF318" s="261"/>
      <c r="AG318" s="261"/>
      <c r="AH318" s="261"/>
      <c r="AI318" s="261"/>
      <c r="AL318" s="259"/>
      <c r="AM318" s="261"/>
      <c r="AN318" s="261"/>
      <c r="AO318" s="261"/>
      <c r="AP318" s="261"/>
      <c r="AQ318" s="261"/>
      <c r="AR318" s="261"/>
      <c r="AS318" s="259"/>
    </row>
    <row r="319" spans="1:48" x14ac:dyDescent="0.25">
      <c r="A319" s="11" t="s">
        <v>1324</v>
      </c>
      <c r="B319" s="11" t="s">
        <v>1309</v>
      </c>
      <c r="C319" s="3">
        <v>2016</v>
      </c>
      <c r="D319" s="1">
        <f t="shared" si="110"/>
        <v>47</v>
      </c>
      <c r="E319" s="283">
        <f>34</f>
        <v>34</v>
      </c>
      <c r="I319" s="261">
        <f>13</f>
        <v>13</v>
      </c>
      <c r="J319" s="261"/>
      <c r="K319" s="261"/>
      <c r="L319" s="261"/>
      <c r="M319" s="261"/>
      <c r="N319" s="267">
        <f>AB319</f>
        <v>0</v>
      </c>
      <c r="P319" s="96">
        <f>I319+J319+K319+L319+M319+N319</f>
        <v>13</v>
      </c>
      <c r="Q319" s="97">
        <f>IF(C319=2013, P319/3,P319)+O319</f>
        <v>13</v>
      </c>
      <c r="R319" s="261"/>
      <c r="S319" s="261"/>
      <c r="T319" s="261"/>
      <c r="U319" s="261"/>
      <c r="V319" s="261"/>
      <c r="W319" s="261"/>
      <c r="X319" s="261"/>
      <c r="Z319" s="261"/>
      <c r="AI319" s="261"/>
      <c r="AL319" s="259"/>
      <c r="AM319" s="261"/>
      <c r="AN319" s="261"/>
      <c r="AO319" s="261"/>
      <c r="AP319" s="261"/>
      <c r="AQ319" s="261"/>
      <c r="AR319" s="261"/>
      <c r="AS319" s="259"/>
    </row>
    <row r="320" spans="1:48" x14ac:dyDescent="0.25">
      <c r="A320" s="11" t="s">
        <v>1370</v>
      </c>
      <c r="B320" s="11" t="s">
        <v>36</v>
      </c>
      <c r="C320" s="3">
        <v>2015</v>
      </c>
      <c r="D320" s="1">
        <f t="shared" si="110"/>
        <v>41</v>
      </c>
      <c r="E320" s="283">
        <f>10+11</f>
        <v>21</v>
      </c>
      <c r="F320" s="278">
        <f>14+6</f>
        <v>20</v>
      </c>
      <c r="I320" s="278"/>
      <c r="J320" s="278"/>
      <c r="K320" s="278"/>
      <c r="L320" s="278"/>
      <c r="M320" s="278"/>
      <c r="N320" s="278"/>
      <c r="P320" s="96"/>
      <c r="Q320" s="97"/>
      <c r="R320" s="278"/>
      <c r="S320" s="278"/>
      <c r="T320" s="278"/>
      <c r="U320" s="278"/>
      <c r="V320" s="278"/>
      <c r="W320" s="278"/>
      <c r="X320" s="278"/>
      <c r="Y320" s="278"/>
      <c r="Z320" s="278"/>
      <c r="AE320" s="278"/>
      <c r="AF320" s="278"/>
      <c r="AG320" s="278"/>
      <c r="AH320" s="278"/>
      <c r="AI320" s="278"/>
      <c r="AL320" s="275"/>
      <c r="AM320" s="278"/>
      <c r="AN320" s="278"/>
      <c r="AO320" s="278"/>
      <c r="AP320" s="278"/>
      <c r="AQ320" s="278"/>
      <c r="AR320" s="278"/>
      <c r="AS320" s="275"/>
    </row>
    <row r="321" spans="1:48" x14ac:dyDescent="0.25">
      <c r="A321" s="11" t="s">
        <v>1380</v>
      </c>
      <c r="B321" s="11" t="s">
        <v>63</v>
      </c>
      <c r="C321" s="3">
        <v>2015</v>
      </c>
      <c r="D321" s="1">
        <f t="shared" si="110"/>
        <v>15</v>
      </c>
      <c r="E321" s="283">
        <f>10+5</f>
        <v>15</v>
      </c>
      <c r="F321" s="278">
        <f>0</f>
        <v>0</v>
      </c>
      <c r="I321" s="278"/>
      <c r="J321" s="278"/>
      <c r="K321" s="278"/>
      <c r="L321" s="278"/>
      <c r="M321" s="278"/>
      <c r="N321" s="278"/>
      <c r="P321" s="96"/>
      <c r="Q321" s="97"/>
      <c r="R321" s="278"/>
      <c r="S321" s="278"/>
      <c r="T321" s="278"/>
      <c r="U321" s="278"/>
      <c r="V321" s="278"/>
      <c r="W321" s="278"/>
      <c r="X321" s="278"/>
      <c r="Y321" s="278"/>
      <c r="Z321" s="278"/>
      <c r="AE321" s="278"/>
      <c r="AF321" s="278"/>
      <c r="AG321" s="278"/>
      <c r="AH321" s="278"/>
      <c r="AI321" s="278"/>
      <c r="AL321" s="275"/>
      <c r="AM321" s="278"/>
      <c r="AN321" s="278"/>
      <c r="AO321" s="278"/>
      <c r="AP321" s="278"/>
      <c r="AQ321" s="278"/>
      <c r="AR321" s="278"/>
      <c r="AS321" s="275"/>
    </row>
    <row r="322" spans="1:48" x14ac:dyDescent="0.25">
      <c r="A322" s="11" t="s">
        <v>1337</v>
      </c>
      <c r="B322" s="11" t="s">
        <v>85</v>
      </c>
      <c r="D322" s="1">
        <f t="shared" si="110"/>
        <v>21</v>
      </c>
      <c r="I322" s="261">
        <f>21</f>
        <v>21</v>
      </c>
      <c r="J322" s="261"/>
      <c r="K322" s="261"/>
      <c r="L322" s="261"/>
      <c r="M322" s="261"/>
      <c r="N322" s="267">
        <f>AB322</f>
        <v>0</v>
      </c>
      <c r="P322" s="96">
        <f>I322+J322+K322+L322+M322+N322</f>
        <v>21</v>
      </c>
      <c r="Q322" s="97">
        <f>IF(C322=2013, P322/3,P322)+O322</f>
        <v>21</v>
      </c>
      <c r="R322" s="261"/>
      <c r="S322" s="261"/>
      <c r="T322" s="261"/>
      <c r="U322" s="261"/>
      <c r="V322" s="261"/>
      <c r="W322" s="261"/>
      <c r="X322" s="261"/>
      <c r="Y322" s="261"/>
      <c r="Z322" s="261"/>
      <c r="AE322" s="261"/>
      <c r="AF322" s="261"/>
      <c r="AG322" s="261"/>
      <c r="AH322" s="261"/>
      <c r="AI322" s="261"/>
      <c r="AL322" s="259"/>
      <c r="AM322" s="261"/>
      <c r="AN322" s="261"/>
      <c r="AO322" s="261"/>
      <c r="AP322" s="261"/>
      <c r="AQ322" s="261"/>
      <c r="AR322" s="261"/>
      <c r="AS322" s="259"/>
    </row>
    <row r="323" spans="1:48" x14ac:dyDescent="0.25">
      <c r="A323" s="11" t="s">
        <v>1407</v>
      </c>
      <c r="B323" s="11" t="s">
        <v>231</v>
      </c>
      <c r="C323" s="3">
        <v>2017</v>
      </c>
      <c r="D323" s="1">
        <f t="shared" si="110"/>
        <v>10</v>
      </c>
      <c r="E323" s="283">
        <f>10</f>
        <v>10</v>
      </c>
      <c r="F323" s="283"/>
      <c r="I323" s="283"/>
      <c r="J323" s="283"/>
      <c r="K323" s="283"/>
      <c r="L323" s="283"/>
      <c r="M323" s="283"/>
      <c r="N323" s="283"/>
      <c r="P323" s="96"/>
      <c r="Q323" s="97"/>
      <c r="R323" s="283"/>
      <c r="S323" s="283"/>
      <c r="T323" s="283"/>
      <c r="U323" s="283"/>
      <c r="V323" s="283"/>
      <c r="W323" s="283"/>
      <c r="X323" s="283"/>
      <c r="Y323" s="283"/>
      <c r="Z323" s="283"/>
      <c r="AE323" s="283"/>
      <c r="AF323" s="283"/>
      <c r="AG323" s="283"/>
      <c r="AH323" s="283"/>
      <c r="AI323" s="283"/>
      <c r="AL323" s="282"/>
      <c r="AM323" s="283"/>
      <c r="AN323" s="283"/>
      <c r="AO323" s="283"/>
      <c r="AP323" s="283"/>
      <c r="AQ323" s="283"/>
      <c r="AR323" s="283"/>
      <c r="AS323" s="282"/>
    </row>
    <row r="324" spans="1:48" x14ac:dyDescent="0.25">
      <c r="A324" s="11" t="s">
        <v>1406</v>
      </c>
      <c r="B324" s="11" t="s">
        <v>834</v>
      </c>
      <c r="C324" s="3">
        <v>2015</v>
      </c>
      <c r="D324" s="1">
        <f t="shared" si="110"/>
        <v>10</v>
      </c>
      <c r="E324" s="283">
        <f>10</f>
        <v>10</v>
      </c>
      <c r="F324" s="283"/>
      <c r="I324" s="283"/>
      <c r="J324" s="283"/>
      <c r="K324" s="283"/>
      <c r="L324" s="283"/>
      <c r="M324" s="283"/>
      <c r="N324" s="283"/>
      <c r="P324" s="96"/>
      <c r="Q324" s="97"/>
      <c r="R324" s="283"/>
      <c r="S324" s="283"/>
      <c r="T324" s="283"/>
      <c r="U324" s="283"/>
      <c r="V324" s="283"/>
      <c r="W324" s="283"/>
      <c r="X324" s="283"/>
      <c r="Y324" s="283"/>
      <c r="Z324" s="283"/>
      <c r="AE324" s="283"/>
      <c r="AF324" s="283"/>
      <c r="AG324" s="283"/>
      <c r="AH324" s="283"/>
      <c r="AI324" s="283"/>
      <c r="AL324" s="282"/>
      <c r="AM324" s="283"/>
      <c r="AN324" s="283"/>
      <c r="AO324" s="283"/>
      <c r="AP324" s="283"/>
      <c r="AQ324" s="283"/>
      <c r="AR324" s="283"/>
      <c r="AS324" s="282"/>
    </row>
    <row r="325" spans="1:48" x14ac:dyDescent="0.25">
      <c r="A325" s="11" t="s">
        <v>1332</v>
      </c>
      <c r="B325" s="11" t="s">
        <v>1309</v>
      </c>
      <c r="D325" s="1">
        <f t="shared" si="110"/>
        <v>0</v>
      </c>
      <c r="I325" s="261">
        <f>0</f>
        <v>0</v>
      </c>
      <c r="M325" s="228"/>
      <c r="N325" s="267">
        <f>AB325</f>
        <v>0</v>
      </c>
      <c r="P325" s="96">
        <f>I325+J325+K325+L325+M325+N325</f>
        <v>0</v>
      </c>
      <c r="Q325" s="97">
        <f>IF(C325=2013, P325/3,P325)+O325</f>
        <v>0</v>
      </c>
      <c r="R325" s="228"/>
      <c r="S325" s="228"/>
      <c r="T325" s="228"/>
      <c r="U325" s="228"/>
      <c r="V325" s="228"/>
      <c r="W325" s="228"/>
      <c r="X325" s="228"/>
      <c r="Y325" s="228"/>
      <c r="Z325" s="261"/>
      <c r="AE325" s="228"/>
      <c r="AF325" s="228"/>
      <c r="AG325" s="228"/>
      <c r="AH325" s="228"/>
      <c r="AI325" s="261"/>
      <c r="AL325" s="259"/>
      <c r="AM325" s="261"/>
      <c r="AN325" s="261"/>
      <c r="AO325" s="261"/>
      <c r="AP325" s="261"/>
      <c r="AQ325" s="261"/>
      <c r="AR325" s="261"/>
      <c r="AS325" s="259"/>
    </row>
    <row r="326" spans="1:48" x14ac:dyDescent="0.25">
      <c r="A326" s="11" t="s">
        <v>1374</v>
      </c>
      <c r="B326" s="11" t="s">
        <v>63</v>
      </c>
      <c r="C326" s="3">
        <v>2014</v>
      </c>
      <c r="D326" s="1">
        <f t="shared" si="110"/>
        <v>19</v>
      </c>
      <c r="E326" s="283">
        <f>10</f>
        <v>10</v>
      </c>
      <c r="F326" s="278">
        <f>9</f>
        <v>9</v>
      </c>
      <c r="I326" s="278"/>
      <c r="J326" s="278"/>
      <c r="K326" s="278"/>
      <c r="L326" s="278"/>
      <c r="M326" s="278"/>
      <c r="N326" s="278"/>
      <c r="P326" s="96"/>
      <c r="Q326" s="97"/>
      <c r="R326" s="278"/>
      <c r="S326" s="278"/>
      <c r="T326" s="278"/>
      <c r="U326" s="278"/>
      <c r="V326" s="278"/>
      <c r="W326" s="278"/>
      <c r="X326" s="278"/>
      <c r="Y326" s="278"/>
      <c r="Z326" s="278"/>
      <c r="AE326" s="278"/>
      <c r="AF326" s="278"/>
      <c r="AG326" s="278"/>
      <c r="AH326" s="278"/>
      <c r="AI326" s="278"/>
      <c r="AL326" s="275"/>
      <c r="AM326" s="278"/>
      <c r="AN326" s="278"/>
      <c r="AO326" s="278"/>
      <c r="AP326" s="278"/>
      <c r="AQ326" s="278"/>
      <c r="AR326" s="278"/>
      <c r="AS326" s="275"/>
    </row>
    <row r="327" spans="1:48" x14ac:dyDescent="0.25">
      <c r="A327" s="11" t="s">
        <v>1375</v>
      </c>
      <c r="B327" s="60" t="s">
        <v>1369</v>
      </c>
      <c r="C327" s="62">
        <v>2015</v>
      </c>
      <c r="D327" s="1">
        <f t="shared" si="110"/>
        <v>5</v>
      </c>
      <c r="E327" s="283">
        <f>0+5</f>
        <v>5</v>
      </c>
      <c r="F327" s="278">
        <f>0</f>
        <v>0</v>
      </c>
      <c r="I327" s="278"/>
      <c r="J327" s="278"/>
      <c r="K327" s="278"/>
      <c r="L327" s="278"/>
      <c r="M327" s="278"/>
      <c r="N327" s="278"/>
      <c r="P327" s="96"/>
      <c r="Q327" s="97"/>
      <c r="R327" s="278"/>
      <c r="S327" s="278"/>
      <c r="T327" s="278"/>
      <c r="U327" s="278"/>
      <c r="V327" s="278"/>
      <c r="W327" s="278"/>
      <c r="X327" s="278"/>
      <c r="Y327" s="278"/>
      <c r="Z327" s="152"/>
      <c r="AA327" s="96"/>
      <c r="AB327" s="97"/>
      <c r="AE327" s="278"/>
      <c r="AF327" s="278"/>
      <c r="AG327" s="278"/>
      <c r="AH327" s="278"/>
      <c r="AI327" s="120"/>
      <c r="AJ327" s="96"/>
      <c r="AK327" s="97"/>
      <c r="AL327" s="22"/>
      <c r="AM327" s="151"/>
      <c r="AN327" s="151"/>
      <c r="AO327" s="151"/>
      <c r="AP327" s="151"/>
      <c r="AQ327" s="151"/>
      <c r="AR327" s="151"/>
      <c r="AS327" s="13"/>
      <c r="AT327" s="95"/>
      <c r="AU327" s="96"/>
      <c r="AV327" s="97"/>
    </row>
    <row r="328" spans="1:48" x14ac:dyDescent="0.25">
      <c r="A328" s="11" t="s">
        <v>1376</v>
      </c>
      <c r="B328" s="60" t="s">
        <v>1369</v>
      </c>
      <c r="C328" s="62">
        <v>2014</v>
      </c>
      <c r="D328" s="1">
        <f t="shared" si="110"/>
        <v>26</v>
      </c>
      <c r="E328" s="283">
        <f>0+9</f>
        <v>9</v>
      </c>
      <c r="F328" s="278">
        <f>9+8</f>
        <v>17</v>
      </c>
      <c r="I328" s="278"/>
      <c r="J328" s="278"/>
      <c r="K328" s="278"/>
      <c r="L328" s="278"/>
      <c r="M328" s="278"/>
      <c r="N328" s="278"/>
      <c r="P328" s="96"/>
      <c r="Q328" s="97"/>
      <c r="R328" s="278"/>
      <c r="S328" s="278"/>
      <c r="T328" s="278"/>
      <c r="U328" s="278"/>
      <c r="V328" s="278"/>
      <c r="W328" s="278"/>
      <c r="X328" s="278"/>
      <c r="Y328" s="278"/>
      <c r="Z328" s="152"/>
      <c r="AA328" s="96"/>
      <c r="AB328" s="97"/>
      <c r="AE328" s="278"/>
      <c r="AF328" s="278"/>
      <c r="AG328" s="278"/>
      <c r="AH328" s="278"/>
      <c r="AI328" s="120"/>
      <c r="AJ328" s="96"/>
      <c r="AK328" s="97"/>
      <c r="AL328" s="22"/>
      <c r="AM328" s="151"/>
      <c r="AN328" s="151"/>
      <c r="AO328" s="151"/>
      <c r="AP328" s="151"/>
      <c r="AQ328" s="151"/>
      <c r="AR328" s="151"/>
      <c r="AS328" s="13"/>
      <c r="AT328" s="95"/>
      <c r="AU328" s="96"/>
      <c r="AV328" s="97"/>
    </row>
    <row r="329" spans="1:48" x14ac:dyDescent="0.25">
      <c r="A329" s="11" t="s">
        <v>1321</v>
      </c>
      <c r="B329" s="11" t="s">
        <v>1327</v>
      </c>
      <c r="D329" s="1">
        <f t="shared" si="110"/>
        <v>19</v>
      </c>
      <c r="I329" s="261">
        <f>19</f>
        <v>19</v>
      </c>
      <c r="L329" s="241"/>
      <c r="M329" s="241"/>
      <c r="N329" s="267">
        <f>AB329</f>
        <v>0</v>
      </c>
      <c r="P329" s="96">
        <f>I329+J329+K329+L329+M329+N329</f>
        <v>19</v>
      </c>
      <c r="Q329" s="97">
        <f>IF(C329=2013, P329/3,P329)+O329</f>
        <v>19</v>
      </c>
      <c r="R329" s="241"/>
      <c r="S329" s="241"/>
      <c r="T329" s="241"/>
      <c r="U329" s="241"/>
      <c r="V329" s="241"/>
      <c r="W329" s="241"/>
      <c r="X329" s="241"/>
      <c r="Z329" s="261"/>
      <c r="AE329" s="241"/>
      <c r="AF329" s="241"/>
      <c r="AG329" s="241"/>
      <c r="AH329" s="241"/>
      <c r="AI329" s="261"/>
      <c r="AL329" s="259"/>
      <c r="AM329" s="241"/>
      <c r="AN329" s="241"/>
      <c r="AO329" s="241"/>
      <c r="AP329" s="241"/>
      <c r="AQ329" s="241"/>
      <c r="AR329" s="241"/>
      <c r="AS329" s="240"/>
    </row>
    <row r="330" spans="1:48" x14ac:dyDescent="0.25">
      <c r="A330" s="11" t="s">
        <v>1400</v>
      </c>
      <c r="B330" s="11" t="s">
        <v>1401</v>
      </c>
      <c r="C330" s="3">
        <v>2015</v>
      </c>
      <c r="D330" s="1">
        <f t="shared" si="110"/>
        <v>83</v>
      </c>
      <c r="E330" s="283">
        <f>50+33</f>
        <v>83</v>
      </c>
      <c r="F330" s="283"/>
      <c r="I330" s="283"/>
      <c r="J330" s="283"/>
      <c r="K330" s="283"/>
      <c r="L330" s="283"/>
      <c r="M330" s="283"/>
      <c r="N330" s="283"/>
      <c r="P330" s="96"/>
      <c r="Q330" s="97"/>
      <c r="R330" s="283"/>
      <c r="S330" s="283"/>
      <c r="T330" s="283"/>
      <c r="U330" s="283"/>
      <c r="V330" s="283"/>
      <c r="W330" s="283"/>
      <c r="X330" s="283"/>
      <c r="Y330" s="283"/>
      <c r="Z330" s="283"/>
      <c r="AE330" s="283"/>
      <c r="AF330" s="283"/>
      <c r="AG330" s="283"/>
      <c r="AH330" s="283"/>
      <c r="AI330" s="283"/>
      <c r="AL330" s="282"/>
      <c r="AM330" s="283"/>
      <c r="AN330" s="283"/>
      <c r="AO330" s="283"/>
      <c r="AP330" s="283"/>
      <c r="AQ330" s="283"/>
      <c r="AR330" s="283"/>
      <c r="AS330" s="282"/>
    </row>
    <row r="331" spans="1:48" x14ac:dyDescent="0.25">
      <c r="A331" s="11" t="s">
        <v>1317</v>
      </c>
      <c r="B331" s="11" t="s">
        <v>1315</v>
      </c>
      <c r="D331" s="1">
        <f t="shared" si="110"/>
        <v>27</v>
      </c>
      <c r="I331" s="261">
        <f>27</f>
        <v>27</v>
      </c>
      <c r="K331" s="246"/>
      <c r="L331" s="246"/>
      <c r="M331" s="246"/>
      <c r="N331" s="267">
        <f t="shared" ref="N331:N332" si="111">AB331</f>
        <v>0</v>
      </c>
      <c r="P331" s="96">
        <f t="shared" ref="P331:P332" si="112">I331+J331+K331+L331+M331+N331</f>
        <v>27</v>
      </c>
      <c r="Q331" s="97">
        <f t="shared" ref="Q331:Q332" si="113">IF(C331=2013, P331/3,P331)+O331</f>
        <v>27</v>
      </c>
      <c r="R331" s="246"/>
      <c r="S331" s="246"/>
      <c r="T331" s="246"/>
      <c r="U331" s="246"/>
      <c r="V331" s="246"/>
      <c r="W331" s="246"/>
      <c r="X331" s="246"/>
      <c r="Y331" s="246"/>
      <c r="Z331" s="261"/>
      <c r="AE331" s="246"/>
      <c r="AF331" s="246"/>
      <c r="AG331" s="246"/>
      <c r="AH331" s="246"/>
      <c r="AI331" s="261"/>
      <c r="AL331" s="259"/>
      <c r="AM331" s="246"/>
      <c r="AN331" s="246"/>
      <c r="AO331" s="246"/>
      <c r="AP331" s="246"/>
      <c r="AQ331" s="246"/>
      <c r="AR331" s="246"/>
      <c r="AS331" s="245"/>
    </row>
    <row r="332" spans="1:48" x14ac:dyDescent="0.25">
      <c r="A332" s="11" t="s">
        <v>1319</v>
      </c>
      <c r="B332" s="11" t="s">
        <v>1309</v>
      </c>
      <c r="C332" s="3">
        <v>2016</v>
      </c>
      <c r="D332" s="1">
        <f t="shared" si="110"/>
        <v>56</v>
      </c>
      <c r="E332" s="283">
        <f>37</f>
        <v>37</v>
      </c>
      <c r="I332" s="261">
        <f>19</f>
        <v>19</v>
      </c>
      <c r="J332" s="261"/>
      <c r="K332" s="261"/>
      <c r="L332" s="261"/>
      <c r="M332" s="261"/>
      <c r="N332" s="267">
        <f t="shared" si="111"/>
        <v>0</v>
      </c>
      <c r="P332" s="96">
        <f t="shared" si="112"/>
        <v>19</v>
      </c>
      <c r="Q332" s="97">
        <f t="shared" si="113"/>
        <v>19</v>
      </c>
      <c r="R332" s="261"/>
      <c r="S332" s="261"/>
      <c r="T332" s="261"/>
      <c r="U332" s="261"/>
      <c r="V332" s="261"/>
      <c r="W332" s="261"/>
      <c r="X332" s="261"/>
      <c r="Z332" s="261"/>
      <c r="AE332" s="261"/>
      <c r="AF332" s="261"/>
      <c r="AG332" s="261"/>
      <c r="AH332" s="261"/>
      <c r="AI332" s="261"/>
      <c r="AL332" s="259"/>
      <c r="AM332" s="261"/>
      <c r="AN332" s="261"/>
      <c r="AO332" s="261"/>
      <c r="AP332" s="261"/>
      <c r="AQ332" s="261"/>
      <c r="AR332" s="261"/>
      <c r="AS332" s="259"/>
    </row>
    <row r="333" spans="1:48" x14ac:dyDescent="0.25">
      <c r="A333" s="11" t="s">
        <v>1381</v>
      </c>
      <c r="B333" s="11" t="s">
        <v>63</v>
      </c>
      <c r="C333" s="3">
        <v>2017</v>
      </c>
      <c r="D333" s="1">
        <f t="shared" si="110"/>
        <v>0</v>
      </c>
      <c r="F333" s="278">
        <f>0</f>
        <v>0</v>
      </c>
      <c r="I333" s="278"/>
      <c r="J333" s="278"/>
      <c r="K333" s="278"/>
      <c r="L333" s="278"/>
      <c r="M333" s="278"/>
      <c r="N333" s="278"/>
      <c r="P333" s="96"/>
      <c r="Q333" s="97"/>
      <c r="R333" s="278"/>
      <c r="S333" s="278"/>
      <c r="T333" s="278"/>
      <c r="U333" s="278"/>
      <c r="V333" s="278"/>
      <c r="W333" s="278"/>
      <c r="X333" s="278"/>
      <c r="Y333" s="278"/>
      <c r="Z333" s="278"/>
      <c r="AE333" s="278"/>
      <c r="AF333" s="278"/>
      <c r="AG333" s="278"/>
      <c r="AH333" s="278"/>
      <c r="AI333" s="278"/>
      <c r="AL333" s="275"/>
      <c r="AM333" s="278"/>
      <c r="AN333" s="278"/>
      <c r="AO333" s="278"/>
      <c r="AP333" s="278"/>
      <c r="AQ333" s="278"/>
      <c r="AR333" s="278"/>
      <c r="AS333" s="275"/>
    </row>
    <row r="334" spans="1:48" x14ac:dyDescent="0.25">
      <c r="A334" s="45" t="s">
        <v>1266</v>
      </c>
      <c r="B334" s="66" t="s">
        <v>834</v>
      </c>
      <c r="C334" s="46"/>
      <c r="D334" s="1">
        <f t="shared" si="110"/>
        <v>7</v>
      </c>
      <c r="E334" s="154"/>
      <c r="F334" s="154"/>
      <c r="I334" s="154">
        <f>7</f>
        <v>7</v>
      </c>
      <c r="J334" s="154">
        <f>0</f>
        <v>0</v>
      </c>
      <c r="K334" s="154"/>
      <c r="L334" s="154"/>
      <c r="M334" s="154"/>
      <c r="N334" s="267">
        <f>AB334</f>
        <v>0</v>
      </c>
      <c r="P334" s="96">
        <f>I334+J334+K334+L334+M334+N334</f>
        <v>7</v>
      </c>
      <c r="Q334" s="97">
        <f>IF(C334=2013, P334/3,P334)+O334</f>
        <v>7</v>
      </c>
      <c r="R334" s="154"/>
      <c r="S334" s="154"/>
      <c r="T334" s="154"/>
      <c r="U334" s="154"/>
      <c r="V334" s="154"/>
      <c r="W334" s="154"/>
      <c r="X334" s="154"/>
      <c r="Z334" s="152"/>
      <c r="AA334" s="96"/>
      <c r="AB334" s="97"/>
      <c r="AE334" s="241"/>
      <c r="AF334" s="241"/>
      <c r="AG334" s="241"/>
      <c r="AH334" s="241"/>
      <c r="AI334" s="120"/>
      <c r="AJ334" s="96"/>
      <c r="AK334" s="97"/>
      <c r="AL334" s="101"/>
      <c r="AM334" s="151"/>
      <c r="AN334" s="151"/>
      <c r="AO334" s="151"/>
      <c r="AP334" s="151"/>
      <c r="AQ334" s="151"/>
      <c r="AR334" s="151"/>
      <c r="AS334" s="260"/>
      <c r="AT334" s="95"/>
      <c r="AU334" s="96"/>
      <c r="AV334" s="97"/>
    </row>
    <row r="335" spans="1:48" x14ac:dyDescent="0.25">
      <c r="A335" s="11" t="s">
        <v>1268</v>
      </c>
      <c r="B335" s="60" t="s">
        <v>834</v>
      </c>
      <c r="C335" s="62"/>
      <c r="D335" s="1">
        <f t="shared" ref="D335:D344" si="114">Q335+F335+E335</f>
        <v>0</v>
      </c>
      <c r="I335" s="261">
        <f>0</f>
        <v>0</v>
      </c>
      <c r="J335" s="246">
        <f>0</f>
        <v>0</v>
      </c>
      <c r="L335" s="241"/>
      <c r="M335" s="241"/>
      <c r="N335" s="267">
        <f>AB335</f>
        <v>0</v>
      </c>
      <c r="P335" s="96">
        <f>I335+J335+K335+L335+M335+N335</f>
        <v>0</v>
      </c>
      <c r="Q335" s="97">
        <f>IF(C335=2013, P335/3,P335)+O335</f>
        <v>0</v>
      </c>
      <c r="R335" s="241"/>
      <c r="S335" s="241"/>
      <c r="T335" s="241"/>
      <c r="U335" s="241"/>
      <c r="V335" s="241"/>
      <c r="W335" s="241"/>
      <c r="X335" s="241"/>
      <c r="Y335" s="241"/>
      <c r="Z335" s="152"/>
      <c r="AA335" s="96"/>
      <c r="AB335" s="97"/>
      <c r="AE335" s="241"/>
      <c r="AF335" s="241"/>
      <c r="AG335" s="241"/>
      <c r="AH335" s="241"/>
      <c r="AI335" s="120"/>
      <c r="AJ335" s="96"/>
      <c r="AK335" s="97"/>
      <c r="AL335" s="22"/>
      <c r="AM335" s="151"/>
      <c r="AN335" s="151"/>
      <c r="AO335" s="151"/>
      <c r="AP335" s="151"/>
      <c r="AQ335" s="151"/>
      <c r="AR335" s="151"/>
      <c r="AS335" s="13"/>
      <c r="AT335" s="95"/>
      <c r="AU335" s="96"/>
      <c r="AV335" s="97"/>
    </row>
    <row r="336" spans="1:48" x14ac:dyDescent="0.25">
      <c r="A336" s="11" t="s">
        <v>1410</v>
      </c>
      <c r="B336" s="60" t="s">
        <v>834</v>
      </c>
      <c r="C336" s="62">
        <v>2014</v>
      </c>
      <c r="D336" s="1">
        <f t="shared" si="114"/>
        <v>10</v>
      </c>
      <c r="E336" s="283">
        <f>10</f>
        <v>10</v>
      </c>
      <c r="F336" s="283"/>
      <c r="I336" s="283"/>
      <c r="J336" s="283"/>
      <c r="K336" s="283"/>
      <c r="L336" s="283"/>
      <c r="M336" s="283"/>
      <c r="N336" s="283"/>
      <c r="P336" s="96"/>
      <c r="Q336" s="97"/>
      <c r="R336" s="283"/>
      <c r="S336" s="283"/>
      <c r="T336" s="283"/>
      <c r="U336" s="283"/>
      <c r="V336" s="283"/>
      <c r="W336" s="283"/>
      <c r="X336" s="283"/>
      <c r="Y336" s="283"/>
      <c r="Z336" s="152"/>
      <c r="AA336" s="96"/>
      <c r="AB336" s="97"/>
      <c r="AE336" s="283"/>
      <c r="AF336" s="283"/>
      <c r="AG336" s="283"/>
      <c r="AH336" s="283"/>
      <c r="AI336" s="120"/>
      <c r="AJ336" s="96"/>
      <c r="AK336" s="97"/>
      <c r="AL336" s="22"/>
      <c r="AM336" s="151"/>
      <c r="AN336" s="151"/>
      <c r="AO336" s="151"/>
      <c r="AP336" s="151"/>
      <c r="AQ336" s="151"/>
      <c r="AR336" s="151"/>
      <c r="AS336" s="13"/>
      <c r="AT336" s="95"/>
      <c r="AU336" s="96"/>
      <c r="AV336" s="97"/>
    </row>
    <row r="337" spans="1:48" x14ac:dyDescent="0.25">
      <c r="A337" s="11" t="s">
        <v>1373</v>
      </c>
      <c r="B337" s="11" t="s">
        <v>63</v>
      </c>
      <c r="C337" s="3">
        <v>2016</v>
      </c>
      <c r="D337" s="1">
        <f t="shared" si="114"/>
        <v>19</v>
      </c>
      <c r="E337" s="283">
        <f>10</f>
        <v>10</v>
      </c>
      <c r="F337" s="278">
        <f>9</f>
        <v>9</v>
      </c>
      <c r="I337" s="278"/>
      <c r="J337" s="278"/>
      <c r="K337" s="278"/>
      <c r="L337" s="278"/>
      <c r="M337" s="278"/>
      <c r="N337" s="278"/>
      <c r="P337" s="96"/>
      <c r="Q337" s="97"/>
      <c r="R337" s="278"/>
      <c r="S337" s="278"/>
      <c r="T337" s="278"/>
      <c r="U337" s="278"/>
      <c r="V337" s="278"/>
      <c r="W337" s="278"/>
      <c r="X337" s="278"/>
      <c r="Y337" s="278"/>
      <c r="Z337" s="278"/>
      <c r="AE337" s="278"/>
      <c r="AF337" s="278"/>
      <c r="AG337" s="278"/>
      <c r="AH337" s="278"/>
      <c r="AI337" s="278"/>
      <c r="AL337" s="275"/>
      <c r="AM337" s="278"/>
      <c r="AN337" s="278"/>
      <c r="AO337" s="278"/>
      <c r="AP337" s="278"/>
      <c r="AQ337" s="278"/>
      <c r="AR337" s="278"/>
      <c r="AS337" s="275"/>
    </row>
    <row r="338" spans="1:48" x14ac:dyDescent="0.25">
      <c r="A338" s="11" t="s">
        <v>1347</v>
      </c>
      <c r="B338" s="11" t="s">
        <v>1315</v>
      </c>
      <c r="D338" s="1">
        <f t="shared" si="114"/>
        <v>0</v>
      </c>
      <c r="I338" s="261">
        <f>0</f>
        <v>0</v>
      </c>
      <c r="J338" s="261"/>
      <c r="K338" s="261"/>
      <c r="L338" s="261"/>
      <c r="M338" s="261"/>
      <c r="N338" s="267">
        <f t="shared" ref="N338:N346" si="115">AB338</f>
        <v>0</v>
      </c>
      <c r="P338" s="96">
        <f t="shared" ref="P338:P346" si="116">I338+J338+K338+L338+M338+N338</f>
        <v>0</v>
      </c>
      <c r="Q338" s="97">
        <f t="shared" ref="Q338:Q346" si="117">IF(C338=2013, P338/3,P338)+O338</f>
        <v>0</v>
      </c>
      <c r="R338" s="261"/>
      <c r="S338" s="261"/>
      <c r="T338" s="261"/>
      <c r="U338" s="261"/>
      <c r="V338" s="261"/>
      <c r="W338" s="261"/>
      <c r="X338" s="261"/>
      <c r="Y338" s="261"/>
      <c r="Z338" s="261"/>
      <c r="AE338" s="261"/>
      <c r="AF338" s="261"/>
      <c r="AG338" s="261"/>
      <c r="AH338" s="261"/>
      <c r="AI338" s="261"/>
      <c r="AL338" s="259"/>
      <c r="AM338" s="261"/>
      <c r="AN338" s="261"/>
      <c r="AO338" s="261"/>
      <c r="AP338" s="261"/>
      <c r="AQ338" s="261"/>
      <c r="AR338" s="261"/>
      <c r="AS338" s="259"/>
    </row>
    <row r="339" spans="1:48" x14ac:dyDescent="0.25">
      <c r="A339" s="71" t="s">
        <v>1277</v>
      </c>
      <c r="B339" s="71" t="s">
        <v>834</v>
      </c>
      <c r="C339" s="72"/>
      <c r="D339" s="1">
        <f t="shared" si="114"/>
        <v>11</v>
      </c>
      <c r="J339" s="246">
        <f>11</f>
        <v>11</v>
      </c>
      <c r="N339" s="267">
        <f t="shared" si="115"/>
        <v>0</v>
      </c>
      <c r="P339" s="96">
        <f t="shared" si="116"/>
        <v>11</v>
      </c>
      <c r="Q339" s="97">
        <f t="shared" si="117"/>
        <v>11</v>
      </c>
      <c r="Z339" s="152"/>
      <c r="AA339" s="96"/>
      <c r="AB339" s="97"/>
      <c r="AI339" s="120"/>
      <c r="AJ339" s="96"/>
      <c r="AK339" s="97"/>
      <c r="AL339" s="22"/>
      <c r="AT339" s="95"/>
      <c r="AU339" s="96"/>
      <c r="AV339" s="97"/>
    </row>
    <row r="340" spans="1:48" x14ac:dyDescent="0.25">
      <c r="A340" s="11" t="s">
        <v>1405</v>
      </c>
      <c r="B340" s="11" t="s">
        <v>0</v>
      </c>
      <c r="C340" s="3">
        <v>2014</v>
      </c>
      <c r="D340" s="1">
        <f t="shared" si="114"/>
        <v>37</v>
      </c>
      <c r="E340" s="283">
        <f>37</f>
        <v>37</v>
      </c>
      <c r="F340" s="283"/>
      <c r="I340" s="283"/>
      <c r="J340" s="283"/>
      <c r="K340" s="283"/>
      <c r="L340" s="283"/>
      <c r="M340" s="283"/>
      <c r="N340" s="283"/>
      <c r="P340" s="96"/>
      <c r="Q340" s="97"/>
      <c r="R340" s="283"/>
      <c r="S340" s="283"/>
      <c r="T340" s="283"/>
      <c r="U340" s="283"/>
      <c r="V340" s="283"/>
      <c r="W340" s="283"/>
      <c r="X340" s="283"/>
      <c r="Y340" s="283"/>
      <c r="Z340" s="283"/>
      <c r="AE340" s="283"/>
      <c r="AF340" s="283"/>
      <c r="AG340" s="283"/>
      <c r="AH340" s="283"/>
      <c r="AI340" s="283"/>
      <c r="AL340" s="282"/>
      <c r="AM340" s="283"/>
      <c r="AN340" s="283"/>
      <c r="AO340" s="283"/>
      <c r="AP340" s="283"/>
      <c r="AQ340" s="283"/>
      <c r="AR340" s="283"/>
      <c r="AS340" s="282"/>
    </row>
    <row r="341" spans="1:48" x14ac:dyDescent="0.25">
      <c r="A341" s="11" t="s">
        <v>1323</v>
      </c>
      <c r="B341" s="11" t="s">
        <v>41</v>
      </c>
      <c r="C341" s="3">
        <v>2015</v>
      </c>
      <c r="D341" s="1">
        <f t="shared" si="114"/>
        <v>19</v>
      </c>
      <c r="F341" s="278">
        <f>6</f>
        <v>6</v>
      </c>
      <c r="I341" s="261">
        <f>13</f>
        <v>13</v>
      </c>
      <c r="N341" s="267">
        <f t="shared" si="115"/>
        <v>0</v>
      </c>
      <c r="P341" s="96">
        <f t="shared" si="116"/>
        <v>13</v>
      </c>
      <c r="Q341" s="97">
        <f t="shared" si="117"/>
        <v>13</v>
      </c>
      <c r="Z341" s="261"/>
      <c r="AI341" s="261"/>
      <c r="AL341" s="259"/>
    </row>
    <row r="342" spans="1:48" x14ac:dyDescent="0.25">
      <c r="A342" s="71" t="s">
        <v>844</v>
      </c>
      <c r="B342" s="71" t="s">
        <v>834</v>
      </c>
      <c r="C342" s="72"/>
      <c r="D342" s="1">
        <f t="shared" si="114"/>
        <v>112</v>
      </c>
      <c r="I342" s="261">
        <f>84</f>
        <v>84</v>
      </c>
      <c r="J342" s="246">
        <f>21+7</f>
        <v>28</v>
      </c>
      <c r="N342" s="267">
        <f t="shared" si="115"/>
        <v>0</v>
      </c>
      <c r="P342" s="96">
        <f t="shared" si="116"/>
        <v>112</v>
      </c>
      <c r="Q342" s="97">
        <f t="shared" si="117"/>
        <v>112</v>
      </c>
      <c r="Z342" s="152"/>
      <c r="AA342" s="96"/>
      <c r="AB342" s="97"/>
      <c r="AI342" s="120"/>
      <c r="AJ342" s="96"/>
      <c r="AK342" s="97"/>
      <c r="AL342" s="22"/>
      <c r="AT342" s="95"/>
      <c r="AU342" s="96"/>
      <c r="AV342" s="97"/>
    </row>
    <row r="343" spans="1:48" x14ac:dyDescent="0.25">
      <c r="A343" s="71" t="s">
        <v>1413</v>
      </c>
      <c r="B343" s="71" t="s">
        <v>231</v>
      </c>
      <c r="C343" s="72">
        <v>2015</v>
      </c>
      <c r="D343" s="1">
        <f t="shared" si="114"/>
        <v>0</v>
      </c>
      <c r="E343" s="283">
        <f>0</f>
        <v>0</v>
      </c>
      <c r="F343" s="283"/>
      <c r="I343" s="283"/>
      <c r="J343" s="283"/>
      <c r="K343" s="283"/>
      <c r="L343" s="283"/>
      <c r="M343" s="283"/>
      <c r="N343" s="283"/>
      <c r="P343" s="96"/>
      <c r="Q343" s="97"/>
      <c r="R343" s="283"/>
      <c r="S343" s="283"/>
      <c r="T343" s="283"/>
      <c r="U343" s="283"/>
      <c r="V343" s="283"/>
      <c r="W343" s="283"/>
      <c r="X343" s="283"/>
      <c r="Y343" s="283"/>
      <c r="Z343" s="152"/>
      <c r="AA343" s="96"/>
      <c r="AB343" s="97"/>
      <c r="AE343" s="283"/>
      <c r="AF343" s="283"/>
      <c r="AG343" s="283"/>
      <c r="AH343" s="283"/>
      <c r="AI343" s="120"/>
      <c r="AJ343" s="96"/>
      <c r="AK343" s="97"/>
      <c r="AL343" s="22"/>
      <c r="AM343" s="283"/>
      <c r="AN343" s="283"/>
      <c r="AO343" s="283"/>
      <c r="AP343" s="283"/>
      <c r="AQ343" s="283"/>
      <c r="AR343" s="283"/>
      <c r="AS343" s="282"/>
      <c r="AT343" s="95"/>
      <c r="AU343" s="96"/>
      <c r="AV343" s="97"/>
    </row>
    <row r="344" spans="1:48" x14ac:dyDescent="0.25">
      <c r="A344" s="71" t="s">
        <v>1338</v>
      </c>
      <c r="B344" s="71" t="s">
        <v>1339</v>
      </c>
      <c r="C344" s="72"/>
      <c r="D344" s="1">
        <f t="shared" si="114"/>
        <v>21</v>
      </c>
      <c r="I344" s="261">
        <f>21</f>
        <v>21</v>
      </c>
      <c r="J344" s="261"/>
      <c r="K344" s="261"/>
      <c r="L344" s="261"/>
      <c r="M344" s="261"/>
      <c r="N344" s="267">
        <f t="shared" si="115"/>
        <v>0</v>
      </c>
      <c r="P344" s="96">
        <f t="shared" si="116"/>
        <v>21</v>
      </c>
      <c r="Q344" s="97">
        <f t="shared" si="117"/>
        <v>21</v>
      </c>
      <c r="R344" s="261"/>
      <c r="S344" s="261"/>
      <c r="T344" s="261"/>
      <c r="U344" s="261"/>
      <c r="V344" s="261"/>
      <c r="W344" s="261"/>
      <c r="X344" s="261"/>
      <c r="Y344" s="261"/>
      <c r="Z344" s="152"/>
      <c r="AA344" s="96"/>
      <c r="AB344" s="97"/>
      <c r="AE344" s="261"/>
      <c r="AF344" s="261"/>
      <c r="AG344" s="261"/>
      <c r="AH344" s="261"/>
      <c r="AI344" s="120"/>
      <c r="AJ344" s="96"/>
      <c r="AK344" s="97"/>
      <c r="AL344" s="22"/>
      <c r="AM344" s="261"/>
      <c r="AN344" s="261"/>
      <c r="AO344" s="261"/>
      <c r="AP344" s="261"/>
      <c r="AQ344" s="261"/>
      <c r="AR344" s="261"/>
      <c r="AS344" s="259"/>
      <c r="AT344" s="95"/>
      <c r="AU344" s="96"/>
      <c r="AV344" s="97"/>
    </row>
    <row r="345" spans="1:48" x14ac:dyDescent="0.25">
      <c r="A345" s="11" t="s">
        <v>1312</v>
      </c>
      <c r="B345" s="60" t="s">
        <v>1313</v>
      </c>
      <c r="C345" s="11"/>
      <c r="D345" s="1">
        <f t="shared" ref="D345:D359" si="118">Q345+F345+E345</f>
        <v>32</v>
      </c>
      <c r="E345" s="3"/>
      <c r="F345" s="3"/>
      <c r="I345" s="3">
        <f>32</f>
        <v>32</v>
      </c>
      <c r="J345" s="11"/>
      <c r="K345" s="11"/>
      <c r="L345" s="11"/>
      <c r="M345" s="11"/>
      <c r="N345" s="267">
        <f t="shared" si="115"/>
        <v>0</v>
      </c>
      <c r="P345" s="96">
        <f t="shared" si="116"/>
        <v>32</v>
      </c>
      <c r="Q345" s="97">
        <f t="shared" si="117"/>
        <v>32</v>
      </c>
      <c r="R345" s="11"/>
      <c r="S345" s="11"/>
    </row>
    <row r="346" spans="1:48" x14ac:dyDescent="0.25">
      <c r="A346" s="71" t="s">
        <v>1340</v>
      </c>
      <c r="B346" s="71" t="s">
        <v>1339</v>
      </c>
      <c r="C346" s="72"/>
      <c r="D346" s="1">
        <f t="shared" si="118"/>
        <v>0</v>
      </c>
      <c r="I346" s="261">
        <f>0</f>
        <v>0</v>
      </c>
      <c r="J346" s="261"/>
      <c r="K346" s="261"/>
      <c r="L346" s="261"/>
      <c r="M346" s="261"/>
      <c r="N346" s="267">
        <f t="shared" si="115"/>
        <v>0</v>
      </c>
      <c r="P346" s="96">
        <f t="shared" si="116"/>
        <v>0</v>
      </c>
      <c r="Q346" s="97">
        <f t="shared" si="117"/>
        <v>0</v>
      </c>
      <c r="R346" s="261"/>
      <c r="S346" s="261"/>
      <c r="T346" s="261"/>
      <c r="U346" s="261"/>
      <c r="V346" s="261"/>
      <c r="W346" s="261"/>
      <c r="X346" s="261"/>
      <c r="Y346" s="261"/>
      <c r="Z346" s="152"/>
      <c r="AA346" s="96"/>
      <c r="AB346" s="97"/>
      <c r="AE346" s="261"/>
      <c r="AF346" s="261"/>
      <c r="AG346" s="261"/>
      <c r="AH346" s="261"/>
      <c r="AI346" s="120"/>
      <c r="AJ346" s="96"/>
      <c r="AK346" s="97"/>
      <c r="AL346" s="22"/>
      <c r="AM346" s="261"/>
      <c r="AN346" s="261"/>
      <c r="AO346" s="261"/>
      <c r="AP346" s="261"/>
      <c r="AQ346" s="261"/>
      <c r="AR346" s="261"/>
      <c r="AS346" s="259"/>
      <c r="AT346" s="95"/>
      <c r="AU346" s="96"/>
      <c r="AV346" s="97"/>
    </row>
    <row r="347" spans="1:48" x14ac:dyDescent="0.25">
      <c r="A347" s="11" t="s">
        <v>1377</v>
      </c>
      <c r="B347" s="11" t="s">
        <v>1369</v>
      </c>
      <c r="C347" s="3">
        <v>2015</v>
      </c>
      <c r="D347" s="1">
        <f t="shared" si="118"/>
        <v>33</v>
      </c>
      <c r="E347" s="108">
        <f>10+9</f>
        <v>19</v>
      </c>
      <c r="F347" s="108">
        <f>6+8</f>
        <v>14</v>
      </c>
      <c r="H347" s="101"/>
      <c r="I347" s="108"/>
      <c r="J347" s="108"/>
      <c r="K347" s="108"/>
      <c r="L347" s="108"/>
      <c r="M347" s="108"/>
      <c r="N347" s="278"/>
      <c r="P347" s="96"/>
      <c r="Q347" s="97"/>
      <c r="R347" s="108"/>
      <c r="S347" s="108"/>
      <c r="T347" s="108"/>
      <c r="U347" s="101"/>
      <c r="V347" s="101"/>
      <c r="W347" s="101"/>
      <c r="X347" s="101"/>
      <c r="Y347" s="278"/>
      <c r="Z347" s="101"/>
      <c r="AA347" s="96"/>
      <c r="AB347" s="97"/>
      <c r="AC347" s="101"/>
      <c r="AD347" s="101"/>
      <c r="AE347" s="101"/>
      <c r="AF347" s="101"/>
      <c r="AG347" s="101"/>
      <c r="AH347" s="101"/>
      <c r="AI347" s="101"/>
      <c r="AJ347" s="96"/>
      <c r="AK347" s="97"/>
      <c r="AL347" s="101"/>
      <c r="AM347" s="41"/>
      <c r="AN347" s="41"/>
      <c r="AO347" s="41"/>
      <c r="AP347" s="41"/>
      <c r="AQ347" s="41"/>
      <c r="AR347" s="41"/>
      <c r="AS347" s="13"/>
    </row>
    <row r="348" spans="1:48" x14ac:dyDescent="0.25">
      <c r="A348" s="11" t="s">
        <v>1326</v>
      </c>
      <c r="B348" s="11" t="s">
        <v>1309</v>
      </c>
      <c r="C348" s="3">
        <v>2017</v>
      </c>
      <c r="D348" s="1">
        <f t="shared" si="118"/>
        <v>13</v>
      </c>
      <c r="E348" s="283">
        <f>0</f>
        <v>0</v>
      </c>
      <c r="I348" s="261">
        <f>13</f>
        <v>13</v>
      </c>
      <c r="N348" s="267">
        <f t="shared" ref="N348:N356" si="119">AB348</f>
        <v>0</v>
      </c>
      <c r="P348" s="96">
        <f t="shared" ref="P348:P356" si="120">I348+J348+K348+L348+M348+N348</f>
        <v>13</v>
      </c>
      <c r="Q348" s="97">
        <f t="shared" ref="Q348:Q356" si="121">IF(C348=2013, P348/3,P348)+O348</f>
        <v>13</v>
      </c>
    </row>
    <row r="349" spans="1:48" x14ac:dyDescent="0.25">
      <c r="A349" s="11" t="s">
        <v>1322</v>
      </c>
      <c r="B349" s="11" t="s">
        <v>1315</v>
      </c>
      <c r="D349" s="1">
        <f t="shared" si="118"/>
        <v>19</v>
      </c>
      <c r="I349" s="261">
        <f>19</f>
        <v>19</v>
      </c>
      <c r="N349" s="267">
        <f t="shared" si="119"/>
        <v>0</v>
      </c>
      <c r="P349" s="96">
        <f t="shared" si="120"/>
        <v>19</v>
      </c>
      <c r="Q349" s="97">
        <f t="shared" si="121"/>
        <v>19</v>
      </c>
    </row>
    <row r="350" spans="1:48" x14ac:dyDescent="0.25">
      <c r="A350" s="11" t="s">
        <v>1412</v>
      </c>
      <c r="B350" s="11" t="s">
        <v>834</v>
      </c>
      <c r="C350" s="3">
        <v>2015</v>
      </c>
      <c r="D350" s="1">
        <f t="shared" si="118"/>
        <v>10</v>
      </c>
      <c r="E350" s="283">
        <f>10</f>
        <v>10</v>
      </c>
      <c r="F350" s="283"/>
      <c r="I350" s="283"/>
      <c r="J350" s="283"/>
      <c r="K350" s="283"/>
      <c r="L350" s="283"/>
      <c r="M350" s="283"/>
      <c r="N350" s="283"/>
      <c r="P350" s="96"/>
      <c r="Q350" s="97"/>
      <c r="R350" s="283"/>
      <c r="S350" s="283"/>
      <c r="T350" s="283"/>
      <c r="U350" s="283"/>
      <c r="V350" s="283"/>
      <c r="W350" s="283"/>
      <c r="X350" s="283"/>
      <c r="Y350" s="283"/>
      <c r="Z350" s="283"/>
      <c r="AE350" s="283"/>
      <c r="AF350" s="283"/>
      <c r="AG350" s="283"/>
      <c r="AH350" s="283"/>
      <c r="AI350" s="283"/>
      <c r="AL350" s="282"/>
      <c r="AM350" s="283"/>
      <c r="AN350" s="283"/>
      <c r="AO350" s="283"/>
      <c r="AP350" s="283"/>
      <c r="AQ350" s="283"/>
      <c r="AR350" s="283"/>
      <c r="AS350" s="282"/>
    </row>
    <row r="351" spans="1:48" x14ac:dyDescent="0.25">
      <c r="A351" s="11" t="s">
        <v>1265</v>
      </c>
      <c r="B351" s="11" t="s">
        <v>834</v>
      </c>
      <c r="D351" s="1">
        <f t="shared" si="118"/>
        <v>24</v>
      </c>
      <c r="J351" s="246">
        <f>17+7</f>
        <v>24</v>
      </c>
      <c r="N351" s="267">
        <f t="shared" si="119"/>
        <v>0</v>
      </c>
      <c r="P351" s="96">
        <f t="shared" si="120"/>
        <v>24</v>
      </c>
      <c r="Q351" s="97">
        <f t="shared" si="121"/>
        <v>24</v>
      </c>
    </row>
    <row r="352" spans="1:48" x14ac:dyDescent="0.25">
      <c r="A352" s="11" t="s">
        <v>1264</v>
      </c>
      <c r="B352" s="60" t="s">
        <v>834</v>
      </c>
      <c r="C352" s="62"/>
      <c r="D352" s="1">
        <f t="shared" si="118"/>
        <v>38</v>
      </c>
      <c r="I352" s="261">
        <f>12</f>
        <v>12</v>
      </c>
      <c r="J352" s="246">
        <f>19+7</f>
        <v>26</v>
      </c>
      <c r="N352" s="267">
        <f t="shared" si="119"/>
        <v>0</v>
      </c>
      <c r="P352" s="96">
        <f t="shared" si="120"/>
        <v>38</v>
      </c>
      <c r="Q352" s="97">
        <f t="shared" si="121"/>
        <v>38</v>
      </c>
      <c r="Z352" s="152"/>
      <c r="AA352" s="96"/>
      <c r="AB352" s="97"/>
      <c r="AI352" s="120"/>
      <c r="AJ352" s="96"/>
      <c r="AK352" s="97"/>
      <c r="AL352" s="22"/>
      <c r="AT352" s="95"/>
      <c r="AU352" s="96"/>
      <c r="AV352" s="97"/>
    </row>
    <row r="353" spans="1:48" x14ac:dyDescent="0.25">
      <c r="A353" s="11" t="s">
        <v>1269</v>
      </c>
      <c r="B353" s="60" t="s">
        <v>404</v>
      </c>
      <c r="C353" s="62"/>
      <c r="D353" s="1">
        <f t="shared" si="118"/>
        <v>7</v>
      </c>
      <c r="J353" s="246">
        <f>0+7</f>
        <v>7</v>
      </c>
      <c r="N353" s="267">
        <f t="shared" si="119"/>
        <v>0</v>
      </c>
      <c r="P353" s="96">
        <f t="shared" si="120"/>
        <v>7</v>
      </c>
      <c r="Q353" s="97">
        <f t="shared" si="121"/>
        <v>7</v>
      </c>
      <c r="Z353" s="152"/>
      <c r="AA353" s="96"/>
      <c r="AB353" s="97"/>
      <c r="AI353" s="120"/>
      <c r="AJ353" s="96"/>
      <c r="AK353" s="97"/>
      <c r="AL353" s="22"/>
      <c r="AT353" s="95"/>
      <c r="AU353" s="96"/>
      <c r="AV353" s="97"/>
    </row>
    <row r="354" spans="1:48" x14ac:dyDescent="0.25">
      <c r="A354" s="11" t="s">
        <v>1404</v>
      </c>
      <c r="B354" s="11" t="s">
        <v>231</v>
      </c>
      <c r="C354" s="3">
        <v>2015</v>
      </c>
      <c r="D354" s="1">
        <f t="shared" si="118"/>
        <v>37</v>
      </c>
      <c r="E354" s="283">
        <f>37</f>
        <v>37</v>
      </c>
      <c r="F354" s="283"/>
      <c r="I354" s="283"/>
      <c r="J354" s="283"/>
      <c r="K354" s="283"/>
      <c r="L354" s="283"/>
      <c r="M354" s="283"/>
      <c r="N354" s="283"/>
      <c r="P354" s="96"/>
      <c r="Q354" s="97"/>
      <c r="R354" s="283"/>
      <c r="S354" s="283"/>
      <c r="T354" s="283"/>
      <c r="U354" s="283"/>
      <c r="V354" s="283"/>
      <c r="W354" s="283"/>
      <c r="X354" s="283"/>
      <c r="Y354" s="283"/>
      <c r="Z354" s="283"/>
      <c r="AE354" s="283"/>
      <c r="AF354" s="283"/>
      <c r="AG354" s="283"/>
      <c r="AH354" s="283"/>
      <c r="AI354" s="283"/>
      <c r="AL354" s="282"/>
      <c r="AM354" s="283"/>
      <c r="AN354" s="283"/>
      <c r="AO354" s="283"/>
      <c r="AP354" s="283"/>
      <c r="AQ354" s="283"/>
      <c r="AR354" s="283"/>
      <c r="AS354" s="282"/>
    </row>
    <row r="355" spans="1:48" x14ac:dyDescent="0.25">
      <c r="A355" s="11" t="s">
        <v>1329</v>
      </c>
      <c r="B355" s="11" t="s">
        <v>1309</v>
      </c>
      <c r="C355" s="3">
        <v>2016</v>
      </c>
      <c r="D355" s="1">
        <f t="shared" si="118"/>
        <v>7</v>
      </c>
      <c r="E355" s="283">
        <f>0</f>
        <v>0</v>
      </c>
      <c r="I355" s="261">
        <f>7</f>
        <v>7</v>
      </c>
      <c r="N355" s="267">
        <f t="shared" si="119"/>
        <v>0</v>
      </c>
      <c r="P355" s="96">
        <f t="shared" si="120"/>
        <v>7</v>
      </c>
      <c r="Q355" s="97">
        <f t="shared" si="121"/>
        <v>7</v>
      </c>
    </row>
    <row r="356" spans="1:48" x14ac:dyDescent="0.25">
      <c r="A356" s="11" t="s">
        <v>1270</v>
      </c>
      <c r="B356" s="60" t="s">
        <v>834</v>
      </c>
      <c r="C356" s="62"/>
      <c r="D356" s="1">
        <f t="shared" si="118"/>
        <v>95</v>
      </c>
      <c r="I356" s="261">
        <f>84</f>
        <v>84</v>
      </c>
      <c r="J356" s="246">
        <f>11</f>
        <v>11</v>
      </c>
      <c r="N356" s="267">
        <f t="shared" si="119"/>
        <v>0</v>
      </c>
      <c r="P356" s="96">
        <f t="shared" si="120"/>
        <v>95</v>
      </c>
      <c r="Q356" s="97">
        <f t="shared" si="121"/>
        <v>95</v>
      </c>
      <c r="Z356" s="152"/>
      <c r="AA356" s="96"/>
      <c r="AB356" s="97"/>
      <c r="AI356" s="120"/>
      <c r="AJ356" s="96"/>
      <c r="AK356" s="97"/>
      <c r="AL356" s="22"/>
      <c r="AT356" s="95"/>
      <c r="AU356" s="96"/>
      <c r="AV356" s="97"/>
    </row>
    <row r="357" spans="1:48" x14ac:dyDescent="0.25">
      <c r="A357" s="11" t="s">
        <v>1384</v>
      </c>
      <c r="B357" s="11" t="s">
        <v>63</v>
      </c>
      <c r="C357" s="62">
        <v>2017</v>
      </c>
      <c r="D357" s="1">
        <f t="shared" si="118"/>
        <v>0</v>
      </c>
      <c r="F357" s="278">
        <f>0</f>
        <v>0</v>
      </c>
      <c r="I357" s="278"/>
      <c r="J357" s="278"/>
      <c r="K357" s="278"/>
      <c r="L357" s="278"/>
      <c r="M357" s="278"/>
      <c r="N357" s="278"/>
      <c r="P357" s="96"/>
      <c r="Q357" s="97"/>
      <c r="R357" s="278"/>
      <c r="S357" s="278"/>
      <c r="T357" s="278"/>
      <c r="U357" s="278"/>
      <c r="V357" s="278"/>
      <c r="W357" s="278"/>
      <c r="X357" s="278"/>
      <c r="Y357" s="278"/>
      <c r="Z357" s="152"/>
      <c r="AA357" s="96"/>
      <c r="AB357" s="97"/>
      <c r="AE357" s="278"/>
      <c r="AF357" s="278"/>
      <c r="AG357" s="278"/>
      <c r="AH357" s="278"/>
      <c r="AI357" s="120"/>
      <c r="AJ357" s="96"/>
      <c r="AK357" s="97"/>
      <c r="AL357" s="22"/>
      <c r="AM357" s="278"/>
      <c r="AN357" s="278"/>
      <c r="AO357" s="278"/>
      <c r="AP357" s="278"/>
      <c r="AQ357" s="278"/>
      <c r="AR357" s="278"/>
      <c r="AS357" s="275"/>
      <c r="AT357" s="95"/>
      <c r="AU357" s="96"/>
      <c r="AV357" s="97"/>
    </row>
    <row r="358" spans="1:48" x14ac:dyDescent="0.25">
      <c r="A358" s="11" t="s">
        <v>1372</v>
      </c>
      <c r="B358" s="60" t="s">
        <v>36</v>
      </c>
      <c r="C358" s="62">
        <v>2015</v>
      </c>
      <c r="D358" s="1">
        <f t="shared" si="118"/>
        <v>49</v>
      </c>
      <c r="E358" s="283">
        <f>37</f>
        <v>37</v>
      </c>
      <c r="F358" s="278">
        <f>12</f>
        <v>12</v>
      </c>
      <c r="I358" s="278"/>
      <c r="J358" s="278"/>
      <c r="K358" s="278"/>
      <c r="L358" s="278"/>
      <c r="M358" s="278"/>
      <c r="N358" s="278"/>
      <c r="P358" s="96"/>
      <c r="Q358" s="97"/>
      <c r="R358" s="278"/>
      <c r="S358" s="278"/>
      <c r="T358" s="278"/>
      <c r="U358" s="278"/>
      <c r="V358" s="278"/>
      <c r="W358" s="278"/>
      <c r="X358" s="278"/>
      <c r="Y358" s="278"/>
      <c r="Z358" s="152"/>
      <c r="AA358" s="96"/>
      <c r="AB358" s="97"/>
      <c r="AE358" s="278"/>
      <c r="AF358" s="278"/>
      <c r="AG358" s="278"/>
      <c r="AH358" s="278"/>
      <c r="AI358" s="120"/>
      <c r="AJ358" s="96"/>
      <c r="AK358" s="97"/>
      <c r="AL358" s="22"/>
      <c r="AM358" s="278"/>
      <c r="AN358" s="278"/>
      <c r="AO358" s="278"/>
      <c r="AP358" s="278"/>
      <c r="AQ358" s="278"/>
      <c r="AR358" s="278"/>
      <c r="AS358" s="275"/>
      <c r="AT358" s="95"/>
      <c r="AU358" s="96"/>
      <c r="AV358" s="97"/>
    </row>
    <row r="359" spans="1:48" x14ac:dyDescent="0.25">
      <c r="A359" s="11" t="s">
        <v>1383</v>
      </c>
      <c r="B359" s="11" t="s">
        <v>1336</v>
      </c>
      <c r="D359" s="1">
        <f t="shared" si="118"/>
        <v>69</v>
      </c>
      <c r="I359" s="261">
        <f>69</f>
        <v>69</v>
      </c>
      <c r="N359" s="267">
        <f>AB359</f>
        <v>0</v>
      </c>
      <c r="P359" s="96">
        <f>I359+J359+K359+L359+M359+N359</f>
        <v>69</v>
      </c>
      <c r="Q359" s="97">
        <f>IF(C359=2013, P359/3,P359)+O359</f>
        <v>69</v>
      </c>
    </row>
  </sheetData>
  <autoFilter ref="B1:B359" xr:uid="{00000000-0001-0000-0100-000000000000}"/>
  <sortState xmlns:xlrd2="http://schemas.microsoft.com/office/spreadsheetml/2017/richdata2" ref="A32:BO282">
    <sortCondition ref="A282"/>
  </sortState>
  <mergeCells count="7">
    <mergeCell ref="A283:C283"/>
    <mergeCell ref="A5:C5"/>
    <mergeCell ref="A31:C31"/>
    <mergeCell ref="A1:C2"/>
    <mergeCell ref="AM3:AS3"/>
    <mergeCell ref="I3:M3"/>
    <mergeCell ref="S3:X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1672"/>
  <sheetViews>
    <sheetView zoomScale="90" zoomScaleNormal="90" workbookViewId="0">
      <pane xSplit="4" ySplit="4" topLeftCell="E23" activePane="bottomRight" state="frozen"/>
      <selection pane="topRight" activeCell="E1" sqref="E1"/>
      <selection pane="bottomLeft" activeCell="A3" sqref="A3"/>
      <selection pane="bottomRight" activeCell="C39" sqref="C39"/>
    </sheetView>
  </sheetViews>
  <sheetFormatPr defaultRowHeight="15" x14ac:dyDescent="0.25"/>
  <cols>
    <col min="1" max="1" width="19.7109375" style="11" bestFit="1" customWidth="1"/>
    <col min="2" max="2" width="23.5703125" style="11" bestFit="1" customWidth="1"/>
    <col min="3" max="3" width="8.140625" style="3" bestFit="1" customWidth="1"/>
    <col min="4" max="4" width="12.140625" style="7" customWidth="1"/>
    <col min="5" max="5" width="12.28515625" style="283" customWidth="1"/>
    <col min="6" max="6" width="12.28515625" style="278" customWidth="1"/>
    <col min="7" max="7" width="12.28515625" style="120" customWidth="1"/>
    <col min="8" max="8" width="2.7109375" style="13" customWidth="1"/>
    <col min="9" max="9" width="12.28515625" style="261" customWidth="1"/>
    <col min="10" max="10" width="12.28515625" style="246" customWidth="1"/>
    <col min="11" max="11" width="12.28515625" style="241" customWidth="1"/>
    <col min="12" max="12" width="12.28515625" style="228" customWidth="1"/>
    <col min="13" max="13" width="12.28515625" style="215" customWidth="1"/>
    <col min="14" max="14" width="12.28515625" style="267" customWidth="1"/>
    <col min="15" max="15" width="11" style="215" customWidth="1"/>
    <col min="16" max="17" width="9.140625" style="3"/>
    <col min="18" max="18" width="2.85546875" style="215" customWidth="1"/>
    <col min="19" max="25" width="12.42578125" style="108" customWidth="1"/>
    <col min="26" max="26" width="10.7109375" style="108" customWidth="1"/>
    <col min="27" max="28" width="9.140625" style="3"/>
    <col min="29" max="29" width="3.7109375" style="13" customWidth="1"/>
    <col min="30" max="30" width="12.42578125" style="108" customWidth="1"/>
    <col min="31" max="35" width="10.5703125" style="108" customWidth="1"/>
    <col min="36" max="36" width="8.5703125" style="3" customWidth="1"/>
    <col min="37" max="37" width="9.5703125" style="3" customWidth="1"/>
    <col min="38" max="38" width="3.7109375" style="13" customWidth="1"/>
    <col min="39" max="39" width="8.85546875" style="13" customWidth="1"/>
    <col min="40" max="44" width="10.5703125" style="13" customWidth="1"/>
    <col min="45" max="45" width="8.85546875" style="13" customWidth="1"/>
    <col min="46" max="46" width="10.42578125" style="13" customWidth="1"/>
    <col min="47" max="47" width="8.5703125" style="3" customWidth="1"/>
    <col min="48" max="48" width="9.5703125" style="3" customWidth="1"/>
    <col min="49" max="16384" width="9.140625" style="3"/>
  </cols>
  <sheetData>
    <row r="1" spans="1:67" ht="15" customHeight="1" x14ac:dyDescent="0.5">
      <c r="A1" s="296" t="s">
        <v>61</v>
      </c>
      <c r="B1" s="297"/>
      <c r="C1" s="315"/>
      <c r="D1" s="55"/>
      <c r="E1" s="271"/>
      <c r="F1" s="271"/>
      <c r="G1" s="102"/>
      <c r="H1" s="211"/>
      <c r="I1" s="102"/>
      <c r="J1" s="102"/>
      <c r="K1" s="102"/>
      <c r="L1" s="102"/>
      <c r="M1" s="102"/>
      <c r="N1" s="102"/>
      <c r="O1" s="102"/>
      <c r="R1" s="102"/>
      <c r="S1" s="106"/>
      <c r="T1" s="106"/>
      <c r="U1" s="106"/>
      <c r="V1" s="106"/>
      <c r="W1" s="106"/>
      <c r="X1" s="106"/>
      <c r="Y1" s="106"/>
      <c r="Z1" s="106"/>
      <c r="AC1" s="56"/>
      <c r="AD1" s="106"/>
      <c r="AE1" s="106"/>
      <c r="AF1" s="106"/>
      <c r="AG1" s="106"/>
      <c r="AH1" s="106"/>
      <c r="AI1" s="106"/>
      <c r="AL1" s="56"/>
      <c r="AM1" s="55"/>
      <c r="AN1" s="55"/>
      <c r="AO1" s="55"/>
      <c r="AP1" s="55"/>
      <c r="AQ1" s="55"/>
      <c r="AR1" s="55"/>
      <c r="AS1" s="55"/>
      <c r="AT1" s="55"/>
    </row>
    <row r="2" spans="1:67" ht="15" customHeight="1" x14ac:dyDescent="0.5">
      <c r="A2" s="298"/>
      <c r="B2" s="299"/>
      <c r="C2" s="316"/>
      <c r="D2" s="55"/>
      <c r="E2" s="272"/>
      <c r="F2" s="272"/>
      <c r="G2" s="103"/>
      <c r="H2" s="212"/>
      <c r="I2" s="103"/>
      <c r="J2" s="103"/>
      <c r="K2" s="103"/>
      <c r="L2" s="103"/>
      <c r="M2" s="103"/>
      <c r="N2" s="103"/>
      <c r="O2" s="103"/>
      <c r="R2" s="103"/>
      <c r="S2" s="106"/>
      <c r="T2" s="106"/>
      <c r="U2" s="106"/>
      <c r="V2" s="106"/>
      <c r="W2" s="106"/>
      <c r="X2" s="106"/>
      <c r="Y2" s="106"/>
      <c r="Z2" s="106"/>
      <c r="AC2" s="56"/>
      <c r="AD2" s="106"/>
      <c r="AE2" s="106"/>
      <c r="AF2" s="106"/>
      <c r="AG2" s="106"/>
      <c r="AH2" s="106"/>
      <c r="AI2" s="106"/>
      <c r="AL2" s="56"/>
      <c r="AM2" s="55"/>
      <c r="AN2" s="55"/>
      <c r="AO2" s="55"/>
      <c r="AP2" s="55"/>
      <c r="AQ2" s="55"/>
      <c r="AR2" s="55"/>
      <c r="AS2" s="55"/>
      <c r="AT2" s="55"/>
    </row>
    <row r="3" spans="1:67" s="6" customFormat="1" x14ac:dyDescent="0.25">
      <c r="A3" s="9"/>
      <c r="B3" s="9"/>
      <c r="D3" s="8"/>
      <c r="E3" s="282"/>
      <c r="F3" s="275"/>
      <c r="G3" s="275"/>
      <c r="H3" s="279"/>
      <c r="I3" s="262"/>
      <c r="J3" s="247"/>
      <c r="K3" s="242"/>
      <c r="L3" s="302">
        <v>2025</v>
      </c>
      <c r="M3" s="303"/>
      <c r="N3" s="274"/>
      <c r="O3" s="215"/>
      <c r="R3" s="36"/>
      <c r="S3" s="203"/>
      <c r="T3" s="194"/>
      <c r="U3" s="185"/>
      <c r="V3" s="170"/>
      <c r="W3" s="317">
        <v>2024</v>
      </c>
      <c r="X3" s="318"/>
      <c r="Y3" s="222"/>
      <c r="Z3" s="107"/>
      <c r="AC3" s="8"/>
      <c r="AD3" s="107"/>
      <c r="AE3" s="107"/>
      <c r="AF3" s="107"/>
      <c r="AG3" s="107">
        <v>2023</v>
      </c>
      <c r="AH3" s="107"/>
      <c r="AI3" s="107"/>
      <c r="AL3" s="8"/>
      <c r="AM3" s="308">
        <v>2022</v>
      </c>
      <c r="AN3" s="310"/>
      <c r="AO3" s="75"/>
      <c r="AP3" s="75"/>
      <c r="AQ3" s="75"/>
      <c r="AR3" s="75"/>
      <c r="AS3" s="33"/>
      <c r="AT3" s="44"/>
    </row>
    <row r="4" spans="1:67" s="5" customFormat="1" ht="107.25" customHeight="1" x14ac:dyDescent="0.25">
      <c r="A4" s="5" t="s">
        <v>1</v>
      </c>
      <c r="B4" s="10" t="s">
        <v>2</v>
      </c>
      <c r="C4" s="5" t="s">
        <v>3</v>
      </c>
      <c r="D4" s="49" t="s">
        <v>1399</v>
      </c>
      <c r="E4" s="291" t="s">
        <v>1398</v>
      </c>
      <c r="F4" s="281" t="s">
        <v>1363</v>
      </c>
      <c r="G4" s="273" t="s">
        <v>5</v>
      </c>
      <c r="H4" s="68"/>
      <c r="I4" s="270" t="s">
        <v>1285</v>
      </c>
      <c r="J4" s="249" t="s">
        <v>1260</v>
      </c>
      <c r="K4" s="249" t="s">
        <v>1208</v>
      </c>
      <c r="L4" s="233" t="s">
        <v>1078</v>
      </c>
      <c r="M4" s="226" t="s">
        <v>4</v>
      </c>
      <c r="N4" s="221" t="s">
        <v>543</v>
      </c>
      <c r="O4" s="119" t="s">
        <v>5</v>
      </c>
      <c r="P4" s="96" t="s">
        <v>1362</v>
      </c>
      <c r="Q4" s="97" t="s">
        <v>541</v>
      </c>
      <c r="R4" s="226"/>
      <c r="S4" s="206" t="s">
        <v>460</v>
      </c>
      <c r="T4" s="197" t="s">
        <v>390</v>
      </c>
      <c r="U4" s="173" t="s">
        <v>227</v>
      </c>
      <c r="V4" s="173" t="s">
        <v>870</v>
      </c>
      <c r="W4" s="145" t="s">
        <v>291</v>
      </c>
      <c r="X4" s="145" t="s">
        <v>4</v>
      </c>
      <c r="Y4" s="221" t="s">
        <v>543</v>
      </c>
      <c r="Z4" s="119" t="s">
        <v>5</v>
      </c>
      <c r="AA4" s="96" t="s">
        <v>1061</v>
      </c>
      <c r="AB4" s="97" t="s">
        <v>541</v>
      </c>
      <c r="AC4" s="138"/>
      <c r="AD4" s="137" t="s">
        <v>390</v>
      </c>
      <c r="AE4" s="116" t="s">
        <v>227</v>
      </c>
      <c r="AF4" s="116" t="s">
        <v>291</v>
      </c>
      <c r="AG4" s="116" t="s">
        <v>4</v>
      </c>
      <c r="AH4" s="105" t="s">
        <v>543</v>
      </c>
      <c r="AI4" s="119" t="s">
        <v>5</v>
      </c>
      <c r="AJ4" s="96" t="s">
        <v>540</v>
      </c>
      <c r="AK4" s="97" t="s">
        <v>541</v>
      </c>
      <c r="AL4" s="42"/>
      <c r="AM4" s="44" t="s">
        <v>4</v>
      </c>
      <c r="AN4" s="59" t="s">
        <v>62</v>
      </c>
      <c r="AO4" s="73" t="s">
        <v>227</v>
      </c>
      <c r="AP4" s="79" t="s">
        <v>291</v>
      </c>
      <c r="AQ4" s="81" t="s">
        <v>390</v>
      </c>
      <c r="AR4" s="93" t="s">
        <v>460</v>
      </c>
      <c r="AS4" s="33" t="s">
        <v>34</v>
      </c>
      <c r="AT4" s="95" t="s">
        <v>5</v>
      </c>
      <c r="AU4" s="96" t="s">
        <v>540</v>
      </c>
      <c r="AV4" s="97" t="s">
        <v>541</v>
      </c>
    </row>
    <row r="5" spans="1:67" x14ac:dyDescent="0.25">
      <c r="A5" s="319" t="s">
        <v>13</v>
      </c>
      <c r="B5" s="320"/>
      <c r="C5" s="210"/>
      <c r="D5" s="23"/>
      <c r="H5" s="280"/>
      <c r="O5" s="120"/>
      <c r="P5" s="96"/>
      <c r="Q5" s="97"/>
      <c r="Z5" s="122"/>
      <c r="AA5" s="96"/>
      <c r="AB5" s="97"/>
      <c r="AC5" s="139"/>
      <c r="AI5" s="122"/>
      <c r="AJ5" s="96"/>
      <c r="AK5" s="97"/>
      <c r="AL5" s="91"/>
      <c r="AM5" s="34"/>
      <c r="AN5" s="37"/>
      <c r="AO5" s="57"/>
      <c r="AP5" s="69"/>
      <c r="AQ5" s="78"/>
      <c r="AR5" s="88"/>
      <c r="AS5" s="34"/>
      <c r="AT5" s="95"/>
      <c r="AU5" s="96"/>
      <c r="AV5" s="97"/>
    </row>
    <row r="6" spans="1:67" x14ac:dyDescent="0.25">
      <c r="H6" s="280"/>
      <c r="O6" s="120"/>
      <c r="P6" s="96"/>
      <c r="Q6" s="97"/>
    </row>
    <row r="7" spans="1:67" s="17" customFormat="1" x14ac:dyDescent="0.25">
      <c r="A7" s="304" t="s">
        <v>37</v>
      </c>
      <c r="B7" s="305"/>
      <c r="C7" s="209"/>
      <c r="D7" s="191"/>
      <c r="E7" s="283"/>
      <c r="F7" s="278"/>
      <c r="G7" s="120"/>
      <c r="H7" s="280"/>
      <c r="I7" s="261"/>
      <c r="J7" s="246"/>
      <c r="K7" s="241"/>
      <c r="L7" s="228"/>
      <c r="M7" s="215"/>
      <c r="N7" s="267"/>
      <c r="O7" s="120"/>
      <c r="P7" s="96"/>
      <c r="Q7" s="97"/>
      <c r="R7" s="215"/>
      <c r="S7" s="154"/>
      <c r="T7" s="154"/>
      <c r="U7" s="154"/>
      <c r="V7" s="154"/>
      <c r="W7" s="154"/>
      <c r="X7" s="154"/>
      <c r="Y7" s="154"/>
      <c r="Z7" s="108"/>
      <c r="AA7" s="96">
        <f>AK7+S7+T7+U7+V7+W7+X7</f>
        <v>0</v>
      </c>
      <c r="AB7" s="97">
        <f>IF(C7=2017, AA7/3,AA7)+Z7</f>
        <v>0</v>
      </c>
      <c r="AC7" s="139"/>
      <c r="AD7" s="108"/>
      <c r="AE7" s="108"/>
      <c r="AF7" s="108"/>
      <c r="AG7" s="108"/>
      <c r="AH7" s="108"/>
      <c r="AI7" s="108"/>
      <c r="AJ7" s="68"/>
      <c r="AK7" s="68"/>
      <c r="AL7" s="139"/>
      <c r="AM7" s="41"/>
      <c r="AN7" s="41"/>
      <c r="AO7" s="41"/>
      <c r="AP7" s="41"/>
      <c r="AQ7" s="41"/>
      <c r="AR7" s="41"/>
      <c r="AS7" s="41"/>
      <c r="AT7" s="68"/>
      <c r="AU7" s="68"/>
      <c r="AV7" s="68"/>
    </row>
    <row r="8" spans="1:67" s="17" customFormat="1" x14ac:dyDescent="0.25">
      <c r="A8" s="76" t="s">
        <v>491</v>
      </c>
      <c r="B8" s="71" t="s">
        <v>488</v>
      </c>
      <c r="C8" s="3">
        <v>2014</v>
      </c>
      <c r="D8" s="2">
        <f t="shared" ref="D8:D45" si="0">Q8+F8+E8</f>
        <v>107</v>
      </c>
      <c r="E8" s="283"/>
      <c r="F8" s="278"/>
      <c r="G8" s="120"/>
      <c r="H8" s="280"/>
      <c r="I8" s="261">
        <f>3</f>
        <v>3</v>
      </c>
      <c r="J8" s="246">
        <f>12</f>
        <v>12</v>
      </c>
      <c r="K8" s="241">
        <f>9</f>
        <v>9</v>
      </c>
      <c r="L8" s="228"/>
      <c r="M8" s="215"/>
      <c r="N8" s="267">
        <f t="shared" ref="N8:N45" si="1">AB8</f>
        <v>83</v>
      </c>
      <c r="O8" s="120"/>
      <c r="P8" s="96">
        <f t="shared" ref="P8:P45" si="2">I8+J8+K8+L8+M8+N8</f>
        <v>107</v>
      </c>
      <c r="Q8" s="97">
        <f t="shared" ref="Q8:Q45" si="3">IF(C8=2013, P8/3,P8)+O8</f>
        <v>107</v>
      </c>
      <c r="R8" s="215"/>
      <c r="S8" s="108">
        <f>6</f>
        <v>6</v>
      </c>
      <c r="T8" s="108">
        <f>9</f>
        <v>9</v>
      </c>
      <c r="U8" s="108">
        <f>0</f>
        <v>0</v>
      </c>
      <c r="V8" s="108">
        <f>3</f>
        <v>3</v>
      </c>
      <c r="W8" s="108">
        <f>6</f>
        <v>6</v>
      </c>
      <c r="X8" s="108">
        <f>6</f>
        <v>6</v>
      </c>
      <c r="Y8" s="108">
        <f>AK8</f>
        <v>53</v>
      </c>
      <c r="Z8" s="122"/>
      <c r="AA8" s="96">
        <f>S8+T8+U8+V8+W8+X8+Y8</f>
        <v>83</v>
      </c>
      <c r="AB8" s="97">
        <f>IF(C8=2017, AA8/3,AA8)+Z8</f>
        <v>83</v>
      </c>
      <c r="AC8" s="139"/>
      <c r="AD8" s="108"/>
      <c r="AE8" s="108">
        <f>3</f>
        <v>3</v>
      </c>
      <c r="AF8" s="108">
        <f>50</f>
        <v>50</v>
      </c>
      <c r="AG8" s="108"/>
      <c r="AH8" s="108">
        <f>AV8</f>
        <v>0</v>
      </c>
      <c r="AI8" s="122"/>
      <c r="AJ8" s="96">
        <f>SUM(AD8:AH8)</f>
        <v>53</v>
      </c>
      <c r="AK8" s="97">
        <f>IF(C8=2016, AJ8/3,AJ8)+AI8</f>
        <v>53</v>
      </c>
      <c r="AL8" s="91"/>
      <c r="AM8" s="41"/>
      <c r="AN8" s="41"/>
      <c r="AO8" s="41"/>
      <c r="AP8" s="41"/>
      <c r="AQ8" s="41"/>
      <c r="AR8" s="41">
        <f>0</f>
        <v>0</v>
      </c>
      <c r="AS8" s="41"/>
      <c r="AT8" s="95"/>
      <c r="AU8" s="96">
        <f>SUM(AM8:AS8)</f>
        <v>0</v>
      </c>
      <c r="AV8" s="97">
        <f>IF(C8=2015, AU8/3,AU8)+AT8</f>
        <v>0</v>
      </c>
    </row>
    <row r="9" spans="1:67" s="17" customFormat="1" x14ac:dyDescent="0.25">
      <c r="A9" s="76" t="s">
        <v>627</v>
      </c>
      <c r="B9" s="71" t="s">
        <v>598</v>
      </c>
      <c r="C9" s="3"/>
      <c r="D9" s="2">
        <f t="shared" si="0"/>
        <v>6</v>
      </c>
      <c r="E9" s="283"/>
      <c r="F9" s="278"/>
      <c r="G9" s="120"/>
      <c r="H9" s="280"/>
      <c r="I9" s="154"/>
      <c r="J9" s="154"/>
      <c r="K9" s="154"/>
      <c r="L9" s="154"/>
      <c r="M9" s="154"/>
      <c r="N9" s="267">
        <f t="shared" si="1"/>
        <v>6</v>
      </c>
      <c r="O9" s="120"/>
      <c r="P9" s="96">
        <f t="shared" si="2"/>
        <v>6</v>
      </c>
      <c r="Q9" s="97">
        <f t="shared" si="3"/>
        <v>6</v>
      </c>
      <c r="R9" s="154"/>
      <c r="S9" s="108"/>
      <c r="T9" s="108"/>
      <c r="U9" s="108"/>
      <c r="V9" s="108"/>
      <c r="W9" s="108"/>
      <c r="X9" s="108"/>
      <c r="Y9" s="108">
        <f>AK9</f>
        <v>6</v>
      </c>
      <c r="Z9" s="122"/>
      <c r="AA9" s="96">
        <f>S9+T9+U9+V9+W9+X9+Y9</f>
        <v>6</v>
      </c>
      <c r="AB9" s="97">
        <f>IF(C9=2017, AA9/3,AA9)+Z9</f>
        <v>6</v>
      </c>
      <c r="AC9" s="139"/>
      <c r="AD9" s="108"/>
      <c r="AE9" s="108"/>
      <c r="AF9" s="108">
        <f>6</f>
        <v>6</v>
      </c>
      <c r="AG9" s="108"/>
      <c r="AH9" s="108"/>
      <c r="AI9" s="122"/>
      <c r="AJ9" s="96">
        <f>SUM(AD9:AH9)</f>
        <v>6</v>
      </c>
      <c r="AK9" s="97">
        <f>IF(C9=2016, AJ9/3,AJ9)+AI9</f>
        <v>6</v>
      </c>
      <c r="AL9" s="114"/>
      <c r="AM9" s="41"/>
      <c r="AN9" s="41"/>
      <c r="AO9" s="41"/>
      <c r="AP9" s="41"/>
      <c r="AQ9" s="41"/>
      <c r="AR9" s="41"/>
      <c r="AS9" s="41"/>
      <c r="AT9" s="95"/>
      <c r="AU9" s="96"/>
      <c r="AV9" s="97"/>
    </row>
    <row r="10" spans="1:67" x14ac:dyDescent="0.25">
      <c r="A10" s="11" t="s">
        <v>680</v>
      </c>
      <c r="B10" s="11" t="s">
        <v>63</v>
      </c>
      <c r="C10" s="3">
        <v>2016</v>
      </c>
      <c r="D10" s="2">
        <f t="shared" si="0"/>
        <v>116</v>
      </c>
      <c r="E10" s="154">
        <f>21</f>
        <v>21</v>
      </c>
      <c r="F10" s="154"/>
      <c r="H10" s="280"/>
      <c r="K10" s="241">
        <f>14</f>
        <v>14</v>
      </c>
      <c r="N10" s="267">
        <f t="shared" si="1"/>
        <v>81</v>
      </c>
      <c r="O10" s="120"/>
      <c r="P10" s="96">
        <f t="shared" si="2"/>
        <v>95</v>
      </c>
      <c r="Q10" s="97">
        <f t="shared" si="3"/>
        <v>95</v>
      </c>
      <c r="S10" s="108">
        <f>0+2</f>
        <v>2</v>
      </c>
      <c r="T10" s="108">
        <f>70</f>
        <v>70</v>
      </c>
      <c r="V10" s="108">
        <f>3</f>
        <v>3</v>
      </c>
      <c r="Y10" s="108">
        <f>AK10</f>
        <v>6</v>
      </c>
      <c r="Z10" s="122"/>
      <c r="AA10" s="96">
        <f>S10+T10+U10+V10+W10+X10+Y10</f>
        <v>81</v>
      </c>
      <c r="AB10" s="97">
        <f>IF(C10=2017, AA10/3,AA10)+Z10</f>
        <v>81</v>
      </c>
      <c r="AC10" s="101"/>
      <c r="AE10" s="108">
        <f>6</f>
        <v>6</v>
      </c>
      <c r="AI10" s="122"/>
      <c r="AJ10" s="3">
        <f>SUM(AD10:AH10)</f>
        <v>6</v>
      </c>
      <c r="AK10" s="3">
        <f>AJ10</f>
        <v>6</v>
      </c>
      <c r="AL10" s="101"/>
      <c r="AM10" s="41"/>
      <c r="AN10" s="41"/>
      <c r="AO10" s="41"/>
      <c r="AP10" s="41"/>
      <c r="AQ10" s="41"/>
      <c r="AR10" s="41"/>
      <c r="AS10" s="41"/>
      <c r="AT10" s="3"/>
    </row>
    <row r="11" spans="1:67" x14ac:dyDescent="0.25">
      <c r="A11" s="11" t="s">
        <v>1071</v>
      </c>
      <c r="B11" s="11" t="s">
        <v>994</v>
      </c>
      <c r="C11" s="3">
        <v>2017</v>
      </c>
      <c r="D11" s="2">
        <f t="shared" si="0"/>
        <v>0</v>
      </c>
      <c r="H11" s="280"/>
      <c r="J11" s="261"/>
      <c r="K11" s="261"/>
      <c r="L11" s="261"/>
      <c r="M11" s="261">
        <f>0</f>
        <v>0</v>
      </c>
      <c r="N11" s="267">
        <f t="shared" si="1"/>
        <v>0</v>
      </c>
      <c r="O11" s="120"/>
      <c r="P11" s="96">
        <f t="shared" si="2"/>
        <v>0</v>
      </c>
      <c r="Q11" s="97">
        <f t="shared" si="3"/>
        <v>0</v>
      </c>
      <c r="R11" s="261"/>
      <c r="AA11" s="68"/>
      <c r="AB11" s="68"/>
    </row>
    <row r="12" spans="1:67" s="17" customFormat="1" x14ac:dyDescent="0.25">
      <c r="A12" s="76" t="s">
        <v>770</v>
      </c>
      <c r="B12" s="71" t="s">
        <v>63</v>
      </c>
      <c r="C12" s="3">
        <v>2014</v>
      </c>
      <c r="D12" s="2">
        <f t="shared" si="0"/>
        <v>36</v>
      </c>
      <c r="E12" s="283">
        <f>3</f>
        <v>3</v>
      </c>
      <c r="F12" s="278"/>
      <c r="G12" s="120"/>
      <c r="H12" s="280"/>
      <c r="I12" s="261"/>
      <c r="J12" s="246"/>
      <c r="K12" s="241">
        <f>10</f>
        <v>10</v>
      </c>
      <c r="L12" s="228"/>
      <c r="M12" s="215"/>
      <c r="N12" s="267">
        <f t="shared" si="1"/>
        <v>23</v>
      </c>
      <c r="O12" s="120"/>
      <c r="P12" s="96">
        <f t="shared" si="2"/>
        <v>33</v>
      </c>
      <c r="Q12" s="97">
        <f t="shared" si="3"/>
        <v>33</v>
      </c>
      <c r="R12" s="215"/>
      <c r="S12" s="108">
        <f>9</f>
        <v>9</v>
      </c>
      <c r="U12" s="108">
        <f>1</f>
        <v>1</v>
      </c>
      <c r="V12" s="108">
        <f>6+4</f>
        <v>10</v>
      </c>
      <c r="W12" s="108">
        <f>1</f>
        <v>1</v>
      </c>
      <c r="X12" s="108">
        <f>2</f>
        <v>2</v>
      </c>
      <c r="Y12" s="108">
        <f>AK12</f>
        <v>0</v>
      </c>
      <c r="Z12" s="122"/>
      <c r="AA12" s="96">
        <f>S12+T12+U12+V12+W12+X12+Y12</f>
        <v>23</v>
      </c>
      <c r="AB12" s="97">
        <f>IF(C12=2017, AA12/3,AA12)+Z12</f>
        <v>23</v>
      </c>
      <c r="AC12" s="230"/>
      <c r="AD12" s="108"/>
      <c r="AE12" s="208"/>
      <c r="AF12" s="108"/>
      <c r="AG12" s="108"/>
      <c r="AH12" s="108"/>
      <c r="AI12" s="122"/>
      <c r="AJ12" s="96"/>
      <c r="AK12" s="97"/>
      <c r="AL12" s="230"/>
      <c r="AM12" s="41"/>
      <c r="AN12" s="41"/>
      <c r="AO12" s="41"/>
      <c r="AP12" s="41"/>
      <c r="AQ12" s="41"/>
      <c r="AR12" s="41"/>
      <c r="AS12" s="41"/>
      <c r="AT12" s="155"/>
      <c r="AU12" s="96"/>
      <c r="AV12" s="97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</row>
    <row r="13" spans="1:67" x14ac:dyDescent="0.25">
      <c r="A13" s="76" t="s">
        <v>899</v>
      </c>
      <c r="B13" s="71" t="s">
        <v>0</v>
      </c>
      <c r="C13" s="3">
        <v>2014</v>
      </c>
      <c r="D13" s="2">
        <f t="shared" si="0"/>
        <v>5</v>
      </c>
      <c r="E13" s="156"/>
      <c r="F13" s="156"/>
      <c r="H13" s="280"/>
      <c r="N13" s="267">
        <f t="shared" si="1"/>
        <v>5</v>
      </c>
      <c r="O13" s="120"/>
      <c r="P13" s="96">
        <f t="shared" si="2"/>
        <v>5</v>
      </c>
      <c r="Q13" s="97">
        <f t="shared" si="3"/>
        <v>5</v>
      </c>
      <c r="U13" s="108">
        <f>2</f>
        <v>2</v>
      </c>
      <c r="V13" s="108">
        <f>3</f>
        <v>3</v>
      </c>
      <c r="Y13" s="108">
        <f>AK13</f>
        <v>0</v>
      </c>
      <c r="Z13" s="122"/>
      <c r="AA13" s="96">
        <f>S13+T13+U13+V13+W13+X13+Y13</f>
        <v>5</v>
      </c>
      <c r="AB13" s="97">
        <f>IF(C13=2017, AA13/3,AA13)+Z13</f>
        <v>5</v>
      </c>
      <c r="AC13" s="260"/>
      <c r="AI13" s="122"/>
      <c r="AJ13" s="96"/>
      <c r="AK13" s="97"/>
      <c r="AL13" s="260"/>
      <c r="AM13" s="41"/>
      <c r="AN13" s="41"/>
      <c r="AO13" s="41"/>
      <c r="AP13" s="41"/>
      <c r="AQ13" s="41"/>
      <c r="AR13" s="41"/>
      <c r="AS13" s="41"/>
      <c r="AT13" s="155"/>
      <c r="AU13" s="96"/>
      <c r="AV13" s="9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</row>
    <row r="14" spans="1:67" x14ac:dyDescent="0.25">
      <c r="A14" s="11" t="s">
        <v>826</v>
      </c>
      <c r="B14" s="11" t="s">
        <v>63</v>
      </c>
      <c r="C14" s="3">
        <v>2017</v>
      </c>
      <c r="D14" s="2">
        <f t="shared" si="0"/>
        <v>3.3333333333333335</v>
      </c>
      <c r="H14" s="280"/>
      <c r="N14" s="267">
        <f t="shared" si="1"/>
        <v>3.3333333333333335</v>
      </c>
      <c r="O14" s="120"/>
      <c r="P14" s="96">
        <f t="shared" si="2"/>
        <v>3.3333333333333335</v>
      </c>
      <c r="Q14" s="97">
        <f t="shared" si="3"/>
        <v>3.3333333333333335</v>
      </c>
      <c r="U14" s="108">
        <f>3</f>
        <v>3</v>
      </c>
      <c r="V14" s="108">
        <f>4+3</f>
        <v>7</v>
      </c>
      <c r="W14" s="108">
        <f>0</f>
        <v>0</v>
      </c>
      <c r="Y14" s="108">
        <f>AK14</f>
        <v>0</v>
      </c>
      <c r="Z14" s="122"/>
      <c r="AA14" s="96">
        <f>S14+T14+U14+V14+W14+X14+Y14</f>
        <v>10</v>
      </c>
      <c r="AB14" s="97">
        <f>IF(C14=2017, AA14/3,AA14)+Z14</f>
        <v>3.3333333333333335</v>
      </c>
      <c r="AC14" s="101"/>
      <c r="AE14" s="238"/>
      <c r="AI14" s="122"/>
      <c r="AL14" s="101"/>
      <c r="AM14" s="41"/>
      <c r="AN14" s="41"/>
      <c r="AO14" s="41"/>
      <c r="AP14" s="41"/>
      <c r="AQ14" s="41"/>
      <c r="AR14" s="41"/>
      <c r="AS14" s="41"/>
      <c r="AT14" s="3"/>
    </row>
    <row r="15" spans="1:67" s="17" customFormat="1" x14ac:dyDescent="0.25">
      <c r="A15" s="76" t="s">
        <v>771</v>
      </c>
      <c r="B15" s="71" t="s">
        <v>63</v>
      </c>
      <c r="C15" s="3">
        <v>2014</v>
      </c>
      <c r="D15" s="2">
        <f t="shared" si="0"/>
        <v>16</v>
      </c>
      <c r="E15" s="283"/>
      <c r="F15" s="278"/>
      <c r="G15" s="120"/>
      <c r="H15" s="13"/>
      <c r="I15" s="261"/>
      <c r="J15" s="246"/>
      <c r="K15" s="241"/>
      <c r="L15" s="228"/>
      <c r="M15" s="215"/>
      <c r="N15" s="267">
        <f t="shared" si="1"/>
        <v>16</v>
      </c>
      <c r="O15" s="120"/>
      <c r="P15" s="96">
        <f t="shared" si="2"/>
        <v>16</v>
      </c>
      <c r="Q15" s="97">
        <f t="shared" si="3"/>
        <v>16</v>
      </c>
      <c r="R15" s="215"/>
      <c r="S15" s="108"/>
      <c r="T15" s="108"/>
      <c r="U15" s="108">
        <f>3</f>
        <v>3</v>
      </c>
      <c r="V15" s="108">
        <f>5+4</f>
        <v>9</v>
      </c>
      <c r="W15" s="108">
        <f>3</f>
        <v>3</v>
      </c>
      <c r="X15" s="108">
        <f>1</f>
        <v>1</v>
      </c>
      <c r="Y15" s="108">
        <f>AK15</f>
        <v>0</v>
      </c>
      <c r="Z15" s="122"/>
      <c r="AA15" s="96">
        <f>S15+T15+U15+V15+W15+X15+Y15</f>
        <v>16</v>
      </c>
      <c r="AB15" s="97">
        <f>IF(C15=2017, AA15/3,AA15)+Z15</f>
        <v>16</v>
      </c>
      <c r="AC15" s="260"/>
      <c r="AD15" s="108"/>
      <c r="AE15" s="108"/>
      <c r="AF15" s="108"/>
      <c r="AG15" s="108"/>
      <c r="AH15" s="108"/>
      <c r="AI15" s="122"/>
      <c r="AJ15" s="96"/>
      <c r="AK15" s="97"/>
      <c r="AL15" s="260"/>
      <c r="AM15" s="41"/>
      <c r="AN15" s="41"/>
      <c r="AO15" s="41"/>
      <c r="AP15" s="41"/>
      <c r="AQ15" s="41"/>
      <c r="AR15" s="41"/>
      <c r="AS15" s="41"/>
      <c r="AT15" s="95"/>
      <c r="AU15" s="96"/>
      <c r="AV15" s="97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spans="1:67" x14ac:dyDescent="0.25">
      <c r="A16" s="11" t="s">
        <v>1253</v>
      </c>
      <c r="B16" s="11" t="s">
        <v>296</v>
      </c>
      <c r="D16" s="2">
        <f t="shared" si="0"/>
        <v>6</v>
      </c>
      <c r="H16" s="280"/>
      <c r="K16" s="241">
        <f>6</f>
        <v>6</v>
      </c>
      <c r="N16" s="267">
        <f t="shared" si="1"/>
        <v>0</v>
      </c>
      <c r="O16" s="120"/>
      <c r="P16" s="96">
        <f t="shared" si="2"/>
        <v>6</v>
      </c>
      <c r="Q16" s="97">
        <f t="shared" si="3"/>
        <v>6</v>
      </c>
      <c r="AA16" s="68"/>
      <c r="AB16" s="68"/>
      <c r="AT16" s="17"/>
    </row>
    <row r="17" spans="1:67" x14ac:dyDescent="0.25">
      <c r="A17" s="11" t="s">
        <v>1062</v>
      </c>
      <c r="B17" s="11" t="s">
        <v>938</v>
      </c>
      <c r="C17" s="3">
        <v>2017</v>
      </c>
      <c r="D17" s="2">
        <f t="shared" si="0"/>
        <v>19</v>
      </c>
      <c r="E17" s="283">
        <f>15</f>
        <v>15</v>
      </c>
      <c r="H17" s="280"/>
      <c r="N17" s="267">
        <f t="shared" si="1"/>
        <v>4</v>
      </c>
      <c r="O17" s="120"/>
      <c r="P17" s="96">
        <f t="shared" si="2"/>
        <v>4</v>
      </c>
      <c r="Q17" s="97">
        <f t="shared" si="3"/>
        <v>4</v>
      </c>
      <c r="T17" s="108">
        <f>12</f>
        <v>12</v>
      </c>
      <c r="Y17" s="108">
        <f t="shared" ref="Y17:Y23" si="4">AK17</f>
        <v>0</v>
      </c>
      <c r="Z17" s="122"/>
      <c r="AA17" s="96">
        <f t="shared" ref="AA17:AA23" si="5">S17+T17+U17+V17+W17+X17+Y17</f>
        <v>12</v>
      </c>
      <c r="AB17" s="97">
        <f t="shared" ref="AB17:AB23" si="6">IF(C17=2017, AA17/3,AA17)+Z17</f>
        <v>4</v>
      </c>
      <c r="AC17" s="101"/>
      <c r="AI17" s="122"/>
      <c r="AL17" s="101"/>
      <c r="AM17" s="41"/>
      <c r="AN17" s="41"/>
      <c r="AO17" s="41"/>
      <c r="AP17" s="41"/>
      <c r="AQ17" s="41"/>
      <c r="AR17" s="41"/>
      <c r="AS17" s="41"/>
      <c r="AT17" s="3"/>
    </row>
    <row r="18" spans="1:67" x14ac:dyDescent="0.25">
      <c r="A18" s="11" t="s">
        <v>712</v>
      </c>
      <c r="B18" s="11" t="s">
        <v>63</v>
      </c>
      <c r="C18" s="3">
        <v>2016</v>
      </c>
      <c r="D18" s="2">
        <f t="shared" si="0"/>
        <v>44</v>
      </c>
      <c r="E18" s="283">
        <f>18</f>
        <v>18</v>
      </c>
      <c r="H18" s="280"/>
      <c r="I18" s="261">
        <f>6</f>
        <v>6</v>
      </c>
      <c r="K18" s="241">
        <f>2</f>
        <v>2</v>
      </c>
      <c r="N18" s="267">
        <f t="shared" si="1"/>
        <v>18</v>
      </c>
      <c r="O18" s="120"/>
      <c r="P18" s="96">
        <f t="shared" si="2"/>
        <v>26</v>
      </c>
      <c r="Q18" s="97">
        <f t="shared" si="3"/>
        <v>26</v>
      </c>
      <c r="S18" s="108">
        <f>3+2</f>
        <v>5</v>
      </c>
      <c r="T18" s="108">
        <f>0</f>
        <v>0</v>
      </c>
      <c r="U18" s="108">
        <f>4</f>
        <v>4</v>
      </c>
      <c r="V18" s="108">
        <f>2</f>
        <v>2</v>
      </c>
      <c r="W18" s="108">
        <f>4</f>
        <v>4</v>
      </c>
      <c r="X18" s="108">
        <f>3</f>
        <v>3</v>
      </c>
      <c r="Y18" s="108">
        <f t="shared" si="4"/>
        <v>0</v>
      </c>
      <c r="Z18" s="122"/>
      <c r="AA18" s="96">
        <f t="shared" si="5"/>
        <v>18</v>
      </c>
      <c r="AB18" s="97">
        <f t="shared" si="6"/>
        <v>18</v>
      </c>
      <c r="AC18" s="101"/>
      <c r="AD18" s="108">
        <f>0</f>
        <v>0</v>
      </c>
      <c r="AI18" s="122"/>
      <c r="AJ18" s="96">
        <f>SUM(AD18:AH18)</f>
        <v>0</v>
      </c>
      <c r="AK18" s="97">
        <f>IF(C18=2016, AJ18/3,AJ18)+AI18</f>
        <v>0</v>
      </c>
      <c r="AL18" s="101"/>
      <c r="AM18" s="41"/>
      <c r="AN18" s="41"/>
      <c r="AO18" s="41"/>
      <c r="AP18" s="41"/>
      <c r="AQ18" s="41"/>
      <c r="AR18" s="41"/>
      <c r="AS18" s="41"/>
      <c r="AT18" s="3"/>
    </row>
    <row r="19" spans="1:67" x14ac:dyDescent="0.25">
      <c r="A19" s="76" t="s">
        <v>1009</v>
      </c>
      <c r="B19" s="71" t="s">
        <v>1010</v>
      </c>
      <c r="C19" s="3">
        <v>2014</v>
      </c>
      <c r="D19" s="2">
        <f t="shared" si="0"/>
        <v>8</v>
      </c>
      <c r="H19" s="280"/>
      <c r="I19" s="287"/>
      <c r="J19" s="287"/>
      <c r="K19" s="287"/>
      <c r="L19" s="287"/>
      <c r="M19" s="287"/>
      <c r="N19" s="267">
        <f t="shared" si="1"/>
        <v>8</v>
      </c>
      <c r="O19" s="120"/>
      <c r="P19" s="96">
        <f t="shared" si="2"/>
        <v>8</v>
      </c>
      <c r="Q19" s="97">
        <f t="shared" si="3"/>
        <v>8</v>
      </c>
      <c r="R19" s="287"/>
      <c r="S19" s="108">
        <f>8</f>
        <v>8</v>
      </c>
      <c r="T19" s="13"/>
      <c r="Y19" s="108">
        <f t="shared" si="4"/>
        <v>0</v>
      </c>
      <c r="Z19" s="122"/>
      <c r="AA19" s="96">
        <f t="shared" si="5"/>
        <v>8</v>
      </c>
      <c r="AB19" s="97">
        <f t="shared" si="6"/>
        <v>8</v>
      </c>
      <c r="AC19" s="260"/>
      <c r="AI19" s="122"/>
      <c r="AJ19" s="96"/>
      <c r="AK19" s="97"/>
      <c r="AL19" s="260"/>
      <c r="AM19" s="41"/>
      <c r="AN19" s="41"/>
      <c r="AO19" s="41"/>
      <c r="AP19" s="41"/>
      <c r="AQ19" s="41"/>
      <c r="AR19" s="41"/>
      <c r="AS19" s="41"/>
      <c r="AT19" s="95"/>
      <c r="AU19" s="96"/>
      <c r="AV19" s="9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</row>
    <row r="20" spans="1:67" x14ac:dyDescent="0.25">
      <c r="A20" s="76" t="s">
        <v>1014</v>
      </c>
      <c r="B20" s="71" t="s">
        <v>1010</v>
      </c>
      <c r="C20" s="3">
        <v>2014</v>
      </c>
      <c r="D20" s="2">
        <f t="shared" si="0"/>
        <v>4</v>
      </c>
      <c r="E20" s="287"/>
      <c r="F20" s="287"/>
      <c r="H20" s="280"/>
      <c r="I20" s="108"/>
      <c r="J20" s="108"/>
      <c r="K20" s="108"/>
      <c r="L20" s="108"/>
      <c r="M20" s="108"/>
      <c r="N20" s="267">
        <f t="shared" si="1"/>
        <v>4</v>
      </c>
      <c r="O20" s="120"/>
      <c r="P20" s="96">
        <f t="shared" si="2"/>
        <v>4</v>
      </c>
      <c r="Q20" s="97">
        <f t="shared" si="3"/>
        <v>4</v>
      </c>
      <c r="R20" s="108"/>
      <c r="S20" s="108">
        <f>4</f>
        <v>4</v>
      </c>
      <c r="T20" s="17"/>
      <c r="Y20" s="108">
        <f t="shared" si="4"/>
        <v>0</v>
      </c>
      <c r="Z20" s="122"/>
      <c r="AA20" s="96">
        <f t="shared" si="5"/>
        <v>4</v>
      </c>
      <c r="AB20" s="97">
        <f t="shared" si="6"/>
        <v>4</v>
      </c>
      <c r="AC20" s="255"/>
      <c r="AI20" s="122"/>
      <c r="AJ20" s="96"/>
      <c r="AK20" s="97"/>
      <c r="AL20" s="255"/>
      <c r="AM20" s="41"/>
      <c r="AN20" s="41"/>
      <c r="AO20" s="41"/>
      <c r="AP20" s="41"/>
      <c r="AQ20" s="41"/>
      <c r="AR20" s="41"/>
      <c r="AS20" s="41"/>
      <c r="AT20" s="155"/>
      <c r="AU20" s="96"/>
      <c r="AV20" s="9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</row>
    <row r="21" spans="1:67" x14ac:dyDescent="0.25">
      <c r="A21" s="11" t="s">
        <v>107</v>
      </c>
      <c r="B21" s="11" t="s">
        <v>41</v>
      </c>
      <c r="C21" s="3">
        <v>2014</v>
      </c>
      <c r="D21" s="2">
        <f t="shared" si="0"/>
        <v>236</v>
      </c>
      <c r="E21" s="154">
        <f>24</f>
        <v>24</v>
      </c>
      <c r="F21" s="154"/>
      <c r="H21" s="280"/>
      <c r="I21" s="261">
        <f>6</f>
        <v>6</v>
      </c>
      <c r="J21" s="261">
        <f>6</f>
        <v>6</v>
      </c>
      <c r="K21" s="261">
        <f>0</f>
        <v>0</v>
      </c>
      <c r="L21" s="261">
        <f>6</f>
        <v>6</v>
      </c>
      <c r="M21" s="261"/>
      <c r="N21" s="267">
        <f t="shared" si="1"/>
        <v>194</v>
      </c>
      <c r="O21" s="120"/>
      <c r="P21" s="96">
        <f t="shared" si="2"/>
        <v>212</v>
      </c>
      <c r="Q21" s="97">
        <f t="shared" si="3"/>
        <v>212</v>
      </c>
      <c r="R21" s="261"/>
      <c r="S21" s="108">
        <f>9</f>
        <v>9</v>
      </c>
      <c r="T21" s="108">
        <f>12</f>
        <v>12</v>
      </c>
      <c r="U21" s="108">
        <f>9</f>
        <v>9</v>
      </c>
      <c r="V21" s="108">
        <f>0+3</f>
        <v>3</v>
      </c>
      <c r="W21" s="108">
        <f>0+6</f>
        <v>6</v>
      </c>
      <c r="X21" s="108">
        <f>3</f>
        <v>3</v>
      </c>
      <c r="Y21" s="108">
        <f t="shared" si="4"/>
        <v>152</v>
      </c>
      <c r="Z21" s="122"/>
      <c r="AA21" s="96">
        <f t="shared" si="5"/>
        <v>194</v>
      </c>
      <c r="AB21" s="97">
        <f t="shared" si="6"/>
        <v>194</v>
      </c>
      <c r="AC21" s="286"/>
      <c r="AD21" s="108">
        <f>3</f>
        <v>3</v>
      </c>
      <c r="AF21" s="108">
        <f>75</f>
        <v>75</v>
      </c>
      <c r="AG21" s="108">
        <f>3</f>
        <v>3</v>
      </c>
      <c r="AH21" s="108">
        <f>AV21</f>
        <v>71</v>
      </c>
      <c r="AI21" s="122"/>
      <c r="AJ21" s="96">
        <f>SUM(AD21:AH21)</f>
        <v>152</v>
      </c>
      <c r="AK21" s="97">
        <f>IF(C21=2016, AJ21/3,AJ21)+AI21</f>
        <v>152</v>
      </c>
      <c r="AL21" s="286"/>
      <c r="AM21" s="41">
        <f>7</f>
        <v>7</v>
      </c>
      <c r="AN21" s="41">
        <f>33</f>
        <v>33</v>
      </c>
      <c r="AO21" s="41"/>
      <c r="AP21" s="41">
        <f>24</f>
        <v>24</v>
      </c>
      <c r="AQ21" s="41">
        <f>3</f>
        <v>3</v>
      </c>
      <c r="AR21" s="41">
        <f>3</f>
        <v>3</v>
      </c>
      <c r="AS21" s="189">
        <f>1</f>
        <v>1</v>
      </c>
      <c r="AT21" s="95"/>
      <c r="AU21" s="96">
        <f>SUM(AM21:AS21)</f>
        <v>71</v>
      </c>
      <c r="AV21" s="97">
        <f>IF(C21=2015, AU21/3,AU21)+AT21</f>
        <v>71</v>
      </c>
    </row>
    <row r="22" spans="1:67" x14ac:dyDescent="0.25">
      <c r="A22" s="11" t="s">
        <v>935</v>
      </c>
      <c r="B22" s="11" t="s">
        <v>63</v>
      </c>
      <c r="C22" s="3">
        <v>2017</v>
      </c>
      <c r="D22" s="2">
        <f t="shared" si="0"/>
        <v>1.6666666666666667</v>
      </c>
      <c r="H22" s="290"/>
      <c r="N22" s="267">
        <f t="shared" si="1"/>
        <v>1.6666666666666667</v>
      </c>
      <c r="O22" s="120"/>
      <c r="P22" s="96">
        <f t="shared" si="2"/>
        <v>1.6666666666666667</v>
      </c>
      <c r="Q22" s="97">
        <f t="shared" si="3"/>
        <v>1.6666666666666667</v>
      </c>
      <c r="S22" s="108">
        <f>2</f>
        <v>2</v>
      </c>
      <c r="T22" s="108">
        <f>3</f>
        <v>3</v>
      </c>
      <c r="U22" s="101"/>
      <c r="V22" s="101"/>
      <c r="W22" s="101"/>
      <c r="X22" s="101"/>
      <c r="Y22" s="108">
        <f t="shared" si="4"/>
        <v>0</v>
      </c>
      <c r="Z22" s="101"/>
      <c r="AA22" s="96">
        <f t="shared" si="5"/>
        <v>5</v>
      </c>
      <c r="AB22" s="97">
        <f t="shared" si="6"/>
        <v>1.6666666666666667</v>
      </c>
      <c r="AC22" s="101"/>
      <c r="AD22" s="101"/>
      <c r="AE22" s="101"/>
      <c r="AF22" s="101"/>
      <c r="AG22" s="101"/>
      <c r="AH22" s="101"/>
      <c r="AI22" s="101"/>
      <c r="AL22" s="101"/>
      <c r="AM22" s="41"/>
      <c r="AN22" s="41"/>
      <c r="AO22" s="41"/>
      <c r="AP22" s="41"/>
      <c r="AQ22" s="41"/>
      <c r="AR22" s="41"/>
      <c r="AT22" s="3"/>
    </row>
    <row r="23" spans="1:67" x14ac:dyDescent="0.25">
      <c r="A23" s="76" t="s">
        <v>1011</v>
      </c>
      <c r="B23" s="71" t="s">
        <v>1010</v>
      </c>
      <c r="C23" s="3">
        <v>2014</v>
      </c>
      <c r="D23" s="2">
        <f t="shared" si="0"/>
        <v>7</v>
      </c>
      <c r="E23" s="287"/>
      <c r="F23" s="287"/>
      <c r="N23" s="267">
        <f t="shared" si="1"/>
        <v>7</v>
      </c>
      <c r="O23" s="120"/>
      <c r="P23" s="96">
        <f t="shared" si="2"/>
        <v>7</v>
      </c>
      <c r="Q23" s="97">
        <f t="shared" si="3"/>
        <v>7</v>
      </c>
      <c r="S23" s="108">
        <f>7</f>
        <v>7</v>
      </c>
      <c r="T23" s="13"/>
      <c r="Y23" s="108">
        <f t="shared" si="4"/>
        <v>0</v>
      </c>
      <c r="Z23" s="122"/>
      <c r="AA23" s="96">
        <f t="shared" si="5"/>
        <v>7</v>
      </c>
      <c r="AB23" s="97">
        <f t="shared" si="6"/>
        <v>7</v>
      </c>
      <c r="AC23" s="286"/>
      <c r="AI23" s="122"/>
      <c r="AJ23" s="96"/>
      <c r="AK23" s="97"/>
      <c r="AL23" s="286"/>
      <c r="AM23" s="41"/>
      <c r="AN23" s="41"/>
      <c r="AO23" s="41"/>
      <c r="AP23" s="41"/>
      <c r="AQ23" s="41"/>
      <c r="AR23" s="41"/>
      <c r="AS23" s="41"/>
      <c r="AT23" s="95"/>
      <c r="AU23" s="96"/>
      <c r="AV23" s="9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</row>
    <row r="24" spans="1:67" s="17" customFormat="1" x14ac:dyDescent="0.25">
      <c r="A24" s="11" t="s">
        <v>1136</v>
      </c>
      <c r="B24" s="11" t="s">
        <v>1010</v>
      </c>
      <c r="C24" s="3">
        <v>2015</v>
      </c>
      <c r="D24" s="2">
        <f t="shared" si="0"/>
        <v>0</v>
      </c>
      <c r="E24" s="283"/>
      <c r="F24" s="278"/>
      <c r="G24" s="120"/>
      <c r="H24" s="280"/>
      <c r="I24" s="261"/>
      <c r="J24" s="246"/>
      <c r="K24" s="241"/>
      <c r="L24" s="228">
        <f>0</f>
        <v>0</v>
      </c>
      <c r="M24" s="215"/>
      <c r="N24" s="267">
        <f t="shared" si="1"/>
        <v>0</v>
      </c>
      <c r="O24" s="152"/>
      <c r="P24" s="96">
        <f t="shared" si="2"/>
        <v>0</v>
      </c>
      <c r="Q24" s="97">
        <f t="shared" si="3"/>
        <v>0</v>
      </c>
      <c r="R24" s="215"/>
      <c r="S24" s="108"/>
      <c r="T24" s="108"/>
      <c r="U24" s="108"/>
      <c r="V24" s="108"/>
      <c r="W24" s="108"/>
      <c r="X24" s="108"/>
      <c r="Y24" s="108"/>
      <c r="Z24" s="122"/>
      <c r="AA24" s="96"/>
      <c r="AB24" s="97"/>
      <c r="AC24" s="101"/>
      <c r="AD24" s="108"/>
      <c r="AE24" s="108"/>
      <c r="AF24" s="108"/>
      <c r="AG24" s="108"/>
      <c r="AH24" s="108"/>
      <c r="AI24" s="122"/>
      <c r="AJ24" s="96"/>
      <c r="AK24" s="97"/>
      <c r="AL24" s="101"/>
      <c r="AM24" s="41"/>
      <c r="AN24" s="41"/>
      <c r="AO24" s="41"/>
      <c r="AP24" s="41"/>
      <c r="AQ24" s="41"/>
      <c r="AR24" s="41"/>
      <c r="AS24" s="41"/>
      <c r="AT24" s="7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spans="1:67" x14ac:dyDescent="0.25">
      <c r="A25" s="11" t="s">
        <v>1070</v>
      </c>
      <c r="B25" s="11" t="s">
        <v>994</v>
      </c>
      <c r="C25" s="3">
        <v>2016</v>
      </c>
      <c r="D25" s="2">
        <f t="shared" si="0"/>
        <v>3</v>
      </c>
      <c r="E25" s="154"/>
      <c r="F25" s="154"/>
      <c r="H25" s="280"/>
      <c r="I25" s="287"/>
      <c r="J25" s="287"/>
      <c r="K25" s="287"/>
      <c r="L25" s="287"/>
      <c r="M25" s="287">
        <f>3</f>
        <v>3</v>
      </c>
      <c r="N25" s="267">
        <f t="shared" si="1"/>
        <v>0</v>
      </c>
      <c r="O25" s="120"/>
      <c r="P25" s="96">
        <f t="shared" si="2"/>
        <v>3</v>
      </c>
      <c r="Q25" s="97">
        <f t="shared" si="3"/>
        <v>3</v>
      </c>
      <c r="R25" s="287"/>
      <c r="T25" s="208"/>
      <c r="AA25" s="68"/>
      <c r="AB25" s="68"/>
    </row>
    <row r="26" spans="1:67" s="17" customFormat="1" x14ac:dyDescent="0.25">
      <c r="A26" s="76" t="s">
        <v>266</v>
      </c>
      <c r="B26" s="71" t="s">
        <v>231</v>
      </c>
      <c r="C26" s="3"/>
      <c r="D26" s="2">
        <f t="shared" si="0"/>
        <v>42</v>
      </c>
      <c r="E26" s="287"/>
      <c r="F26" s="287"/>
      <c r="G26" s="120"/>
      <c r="H26" s="280"/>
      <c r="I26" s="261"/>
      <c r="J26" s="261"/>
      <c r="K26" s="261"/>
      <c r="L26" s="261"/>
      <c r="M26" s="261"/>
      <c r="N26" s="267">
        <f t="shared" si="1"/>
        <v>42</v>
      </c>
      <c r="O26" s="120"/>
      <c r="P26" s="96">
        <f t="shared" si="2"/>
        <v>42</v>
      </c>
      <c r="Q26" s="97">
        <f t="shared" si="3"/>
        <v>42</v>
      </c>
      <c r="R26" s="261"/>
      <c r="S26" s="108"/>
      <c r="T26" s="208"/>
      <c r="U26" s="108"/>
      <c r="V26" s="108"/>
      <c r="W26" s="108"/>
      <c r="X26" s="108"/>
      <c r="Y26" s="108">
        <f>AK26</f>
        <v>42</v>
      </c>
      <c r="Z26" s="122"/>
      <c r="AA26" s="96">
        <f>S26+T26+U26+V26+W26+X26+Y26</f>
        <v>42</v>
      </c>
      <c r="AB26" s="97">
        <f>IF(C26=2017, AA26/3,AA26)+Z26</f>
        <v>42</v>
      </c>
      <c r="AC26" s="286"/>
      <c r="AD26" s="108"/>
      <c r="AE26" s="108"/>
      <c r="AF26" s="108"/>
      <c r="AG26" s="108"/>
      <c r="AH26" s="108">
        <f>AV26</f>
        <v>42</v>
      </c>
      <c r="AI26" s="122"/>
      <c r="AJ26" s="96">
        <f>SUM(AD26:AH26)</f>
        <v>42</v>
      </c>
      <c r="AK26" s="97">
        <f>IF(C26=2016, AJ26/3,AJ26)+AI26</f>
        <v>42</v>
      </c>
      <c r="AL26" s="286"/>
      <c r="AM26" s="13"/>
      <c r="AN26" s="13"/>
      <c r="AO26" s="13">
        <f>9</f>
        <v>9</v>
      </c>
      <c r="AP26" s="13">
        <f>33</f>
        <v>33</v>
      </c>
      <c r="AQ26" s="13"/>
      <c r="AR26" s="13"/>
      <c r="AS26" s="13"/>
      <c r="AT26" s="155"/>
      <c r="AU26" s="96">
        <f>SUM(AM26:AS26)</f>
        <v>42</v>
      </c>
      <c r="AV26" s="97">
        <f>IF(C26=2015, AU26/3,AU26)+AT26</f>
        <v>42</v>
      </c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spans="1:67" x14ac:dyDescent="0.25">
      <c r="A27" s="11" t="s">
        <v>1017</v>
      </c>
      <c r="B27" s="11" t="s">
        <v>1010</v>
      </c>
      <c r="C27" s="3">
        <v>2014</v>
      </c>
      <c r="D27" s="2">
        <f t="shared" si="0"/>
        <v>0</v>
      </c>
      <c r="H27" s="280"/>
      <c r="I27" s="154"/>
      <c r="J27" s="154"/>
      <c r="K27" s="154"/>
      <c r="L27" s="154"/>
      <c r="M27" s="154"/>
      <c r="N27" s="267">
        <f t="shared" si="1"/>
        <v>0</v>
      </c>
      <c r="O27" s="122"/>
      <c r="P27" s="96">
        <f t="shared" si="2"/>
        <v>0</v>
      </c>
      <c r="Q27" s="97">
        <f t="shared" si="3"/>
        <v>0</v>
      </c>
      <c r="R27" s="154"/>
      <c r="S27" s="108">
        <f>0</f>
        <v>0</v>
      </c>
      <c r="T27" s="3"/>
      <c r="Y27" s="108">
        <f>AK27</f>
        <v>0</v>
      </c>
      <c r="Z27" s="122"/>
      <c r="AA27" s="96">
        <f>S27+T27+U27+V27+W27+X27+Y27</f>
        <v>0</v>
      </c>
      <c r="AB27" s="97">
        <f>IF(C27=2017, AA27/3,AA27)+Z27</f>
        <v>0</v>
      </c>
      <c r="AC27" s="101"/>
      <c r="AI27" s="122"/>
      <c r="AJ27" s="96"/>
      <c r="AK27" s="97"/>
      <c r="AL27" s="101"/>
      <c r="AM27" s="41"/>
      <c r="AN27" s="41"/>
      <c r="AO27" s="41"/>
      <c r="AP27" s="41"/>
      <c r="AQ27" s="41"/>
      <c r="AR27" s="41"/>
      <c r="AS27" s="41"/>
      <c r="AT27" s="74"/>
    </row>
    <row r="28" spans="1:67" x14ac:dyDescent="0.25">
      <c r="A28" s="11" t="s">
        <v>841</v>
      </c>
      <c r="B28" s="11" t="s">
        <v>0</v>
      </c>
      <c r="C28" s="3">
        <v>2014</v>
      </c>
      <c r="D28" s="2">
        <f t="shared" si="0"/>
        <v>47</v>
      </c>
      <c r="E28" s="154">
        <f>12</f>
        <v>12</v>
      </c>
      <c r="F28" s="154"/>
      <c r="H28" s="280"/>
      <c r="I28" s="261">
        <f>4</f>
        <v>4</v>
      </c>
      <c r="J28" s="256">
        <f>18+2</f>
        <v>20</v>
      </c>
      <c r="K28" s="256">
        <f>8</f>
        <v>8</v>
      </c>
      <c r="L28" s="256">
        <f>0</f>
        <v>0</v>
      </c>
      <c r="M28" s="256"/>
      <c r="N28" s="267">
        <f t="shared" si="1"/>
        <v>3</v>
      </c>
      <c r="O28" s="120"/>
      <c r="P28" s="96">
        <f t="shared" si="2"/>
        <v>35</v>
      </c>
      <c r="Q28" s="97">
        <f t="shared" si="3"/>
        <v>35</v>
      </c>
      <c r="R28" s="256"/>
      <c r="V28" s="108">
        <f>1</f>
        <v>1</v>
      </c>
      <c r="W28" s="108">
        <f>2</f>
        <v>2</v>
      </c>
      <c r="Y28" s="108">
        <f>AK28</f>
        <v>0</v>
      </c>
      <c r="Z28" s="122"/>
      <c r="AA28" s="96">
        <f>S28+T28+U28+V28+W28+X28+Y28</f>
        <v>3</v>
      </c>
      <c r="AB28" s="97">
        <f>IF(C28=2017, AA28/3,AA28)+Z28</f>
        <v>3</v>
      </c>
      <c r="AC28" s="101"/>
      <c r="AI28" s="122"/>
      <c r="AJ28" s="96"/>
      <c r="AK28" s="97"/>
      <c r="AL28" s="101"/>
      <c r="AM28" s="41"/>
      <c r="AN28" s="41"/>
      <c r="AO28" s="41"/>
      <c r="AP28" s="41"/>
      <c r="AQ28" s="41"/>
      <c r="AR28" s="41"/>
      <c r="AS28" s="41"/>
      <c r="AT28" s="74"/>
    </row>
    <row r="29" spans="1:67" x14ac:dyDescent="0.25">
      <c r="A29" s="11" t="s">
        <v>1069</v>
      </c>
      <c r="B29" s="11" t="s">
        <v>994</v>
      </c>
      <c r="C29" s="3">
        <v>2016</v>
      </c>
      <c r="D29" s="2">
        <f t="shared" si="0"/>
        <v>6</v>
      </c>
      <c r="H29" s="280"/>
      <c r="I29" s="108"/>
      <c r="J29" s="108"/>
      <c r="K29" s="108"/>
      <c r="L29" s="108"/>
      <c r="M29" s="108">
        <f>6</f>
        <v>6</v>
      </c>
      <c r="N29" s="267">
        <f t="shared" si="1"/>
        <v>0</v>
      </c>
      <c r="O29" s="122"/>
      <c r="P29" s="96">
        <f t="shared" si="2"/>
        <v>6</v>
      </c>
      <c r="Q29" s="97">
        <f t="shared" si="3"/>
        <v>6</v>
      </c>
      <c r="R29" s="108"/>
      <c r="AA29" s="68"/>
      <c r="AB29" s="68"/>
    </row>
    <row r="30" spans="1:67" s="17" customFormat="1" x14ac:dyDescent="0.25">
      <c r="A30" s="45" t="s">
        <v>679</v>
      </c>
      <c r="B30" s="66" t="s">
        <v>0</v>
      </c>
      <c r="C30" s="46">
        <v>2016</v>
      </c>
      <c r="D30" s="2">
        <f t="shared" si="0"/>
        <v>143</v>
      </c>
      <c r="E30" s="283"/>
      <c r="F30" s="278"/>
      <c r="G30" s="120"/>
      <c r="H30" s="280"/>
      <c r="I30" s="261"/>
      <c r="J30" s="246">
        <f>0</f>
        <v>0</v>
      </c>
      <c r="K30" s="241">
        <f>12</f>
        <v>12</v>
      </c>
      <c r="L30" s="228">
        <f>3</f>
        <v>3</v>
      </c>
      <c r="M30" s="215"/>
      <c r="N30" s="267">
        <f t="shared" si="1"/>
        <v>128</v>
      </c>
      <c r="O30" s="120"/>
      <c r="P30" s="96">
        <f t="shared" si="2"/>
        <v>143</v>
      </c>
      <c r="Q30" s="97">
        <f t="shared" si="3"/>
        <v>143</v>
      </c>
      <c r="R30" s="215"/>
      <c r="S30" s="108"/>
      <c r="T30" s="208">
        <f>38</f>
        <v>38</v>
      </c>
      <c r="U30" s="108">
        <f>28+8+2</f>
        <v>38</v>
      </c>
      <c r="V30" s="108">
        <f>7+15</f>
        <v>22</v>
      </c>
      <c r="W30" s="108">
        <f>5</f>
        <v>5</v>
      </c>
      <c r="X30" s="108">
        <f>4</f>
        <v>4</v>
      </c>
      <c r="Y30" s="108">
        <f t="shared" ref="Y30:Y36" si="7">AK30</f>
        <v>21</v>
      </c>
      <c r="Z30" s="122"/>
      <c r="AA30" s="96">
        <f t="shared" ref="AA30:AA36" si="8">S30+T30+U30+V30+W30+X30+Y30</f>
        <v>128</v>
      </c>
      <c r="AB30" s="97">
        <f t="shared" ref="AB30:AB36" si="9">IF(C30=2017, AA30/3,AA30)+Z30</f>
        <v>128</v>
      </c>
      <c r="AC30" s="101"/>
      <c r="AD30" s="108">
        <f>9</f>
        <v>9</v>
      </c>
      <c r="AE30" s="108">
        <f>12</f>
        <v>12</v>
      </c>
      <c r="AF30" s="108"/>
      <c r="AG30" s="108"/>
      <c r="AH30" s="108"/>
      <c r="AI30" s="122"/>
      <c r="AJ30" s="3">
        <f>SUM(AD30:AH30)</f>
        <v>21</v>
      </c>
      <c r="AK30" s="3">
        <f>AJ30</f>
        <v>21</v>
      </c>
      <c r="AL30" s="101"/>
      <c r="AM30" s="41"/>
      <c r="AN30" s="41"/>
      <c r="AO30" s="41"/>
      <c r="AP30" s="41"/>
      <c r="AQ30" s="41"/>
      <c r="AR30" s="41"/>
      <c r="AS30" s="13"/>
      <c r="AT30" s="74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spans="1:67" x14ac:dyDescent="0.25">
      <c r="A31" s="11" t="s">
        <v>1013</v>
      </c>
      <c r="B31" s="11" t="s">
        <v>1010</v>
      </c>
      <c r="C31" s="3">
        <v>2015</v>
      </c>
      <c r="D31" s="2">
        <f t="shared" si="0"/>
        <v>5</v>
      </c>
      <c r="H31" s="290"/>
      <c r="L31" s="228">
        <f>0</f>
        <v>0</v>
      </c>
      <c r="M31" s="228"/>
      <c r="N31" s="267">
        <f t="shared" si="1"/>
        <v>5</v>
      </c>
      <c r="O31" s="152"/>
      <c r="P31" s="96">
        <f t="shared" si="2"/>
        <v>5</v>
      </c>
      <c r="Q31" s="97">
        <f t="shared" si="3"/>
        <v>5</v>
      </c>
      <c r="R31" s="228"/>
      <c r="S31" s="108">
        <f>5</f>
        <v>5</v>
      </c>
      <c r="T31" s="74"/>
      <c r="Y31" s="108">
        <f t="shared" si="7"/>
        <v>0</v>
      </c>
      <c r="Z31" s="122"/>
      <c r="AA31" s="96">
        <f t="shared" si="8"/>
        <v>5</v>
      </c>
      <c r="AB31" s="97">
        <f t="shared" si="9"/>
        <v>5</v>
      </c>
      <c r="AC31" s="101"/>
      <c r="AI31" s="122"/>
      <c r="AJ31" s="96"/>
      <c r="AK31" s="97"/>
      <c r="AL31" s="101"/>
      <c r="AM31" s="41"/>
      <c r="AN31" s="41"/>
      <c r="AO31" s="41"/>
      <c r="AP31" s="41"/>
      <c r="AQ31" s="41"/>
      <c r="AR31" s="41"/>
      <c r="AS31" s="41"/>
      <c r="AT31" s="74"/>
    </row>
    <row r="32" spans="1:67" x14ac:dyDescent="0.25">
      <c r="A32" s="76" t="s">
        <v>621</v>
      </c>
      <c r="B32" s="71" t="s">
        <v>598</v>
      </c>
      <c r="D32" s="2">
        <f t="shared" si="0"/>
        <v>48</v>
      </c>
      <c r="H32" s="280"/>
      <c r="J32" s="261"/>
      <c r="K32" s="261"/>
      <c r="L32" s="261"/>
      <c r="M32" s="261"/>
      <c r="N32" s="267">
        <f t="shared" si="1"/>
        <v>48</v>
      </c>
      <c r="O32" s="120"/>
      <c r="P32" s="96">
        <f t="shared" si="2"/>
        <v>48</v>
      </c>
      <c r="Q32" s="97">
        <f t="shared" si="3"/>
        <v>48</v>
      </c>
      <c r="R32" s="261"/>
      <c r="Y32" s="108">
        <f t="shared" si="7"/>
        <v>48</v>
      </c>
      <c r="Z32" s="122"/>
      <c r="AA32" s="96">
        <f t="shared" si="8"/>
        <v>48</v>
      </c>
      <c r="AB32" s="97">
        <f t="shared" si="9"/>
        <v>48</v>
      </c>
      <c r="AC32" s="286"/>
      <c r="AF32" s="108">
        <f>48</f>
        <v>48</v>
      </c>
      <c r="AI32" s="122"/>
      <c r="AJ32" s="96">
        <f>SUM(AD32:AH32)</f>
        <v>48</v>
      </c>
      <c r="AK32" s="97">
        <f>IF(C32=2016, AJ32/3,AJ32)+AI32</f>
        <v>48</v>
      </c>
      <c r="AL32" s="286"/>
      <c r="AT32" s="155"/>
      <c r="AU32" s="96"/>
      <c r="AV32" s="97"/>
    </row>
    <row r="33" spans="1:67" x14ac:dyDescent="0.25">
      <c r="A33" s="71" t="s">
        <v>297</v>
      </c>
      <c r="B33" s="71" t="s">
        <v>111</v>
      </c>
      <c r="C33" s="72">
        <v>2015</v>
      </c>
      <c r="D33" s="2">
        <f t="shared" si="0"/>
        <v>2.6666666666666665</v>
      </c>
      <c r="N33" s="267">
        <f t="shared" si="1"/>
        <v>2.6666666666666665</v>
      </c>
      <c r="O33" s="120"/>
      <c r="P33" s="96">
        <f t="shared" si="2"/>
        <v>2.6666666666666665</v>
      </c>
      <c r="Q33" s="97">
        <f t="shared" si="3"/>
        <v>2.6666666666666665</v>
      </c>
      <c r="S33" s="287"/>
      <c r="T33" s="148"/>
      <c r="U33" s="287"/>
      <c r="V33" s="287"/>
      <c r="W33" s="287"/>
      <c r="X33" s="287"/>
      <c r="Y33" s="108">
        <f t="shared" si="7"/>
        <v>2.6666666666666665</v>
      </c>
      <c r="Z33" s="120"/>
      <c r="AA33" s="96">
        <f t="shared" si="8"/>
        <v>2.6666666666666665</v>
      </c>
      <c r="AB33" s="97">
        <f t="shared" si="9"/>
        <v>2.6666666666666665</v>
      </c>
      <c r="AC33" s="101"/>
      <c r="AD33" s="287"/>
      <c r="AE33" s="287"/>
      <c r="AF33" s="287"/>
      <c r="AG33" s="287"/>
      <c r="AH33" s="287">
        <f>AV33</f>
        <v>2.6666666666666665</v>
      </c>
      <c r="AI33" s="120"/>
      <c r="AJ33" s="96">
        <f>SUM(AD33:AH33)</f>
        <v>2.6666666666666665</v>
      </c>
      <c r="AK33" s="97">
        <f>IF(C33=2016, AJ33/3,AJ33)+AI33</f>
        <v>2.6666666666666665</v>
      </c>
      <c r="AL33" s="101"/>
      <c r="AM33" s="41"/>
      <c r="AN33" s="41"/>
      <c r="AO33" s="41">
        <f>3+1</f>
        <v>4</v>
      </c>
      <c r="AP33" s="41">
        <f>0+4</f>
        <v>4</v>
      </c>
      <c r="AQ33" s="41"/>
      <c r="AR33" s="41"/>
      <c r="AT33" s="155"/>
      <c r="AU33" s="96">
        <f>SUM(AM33:AS33)</f>
        <v>8</v>
      </c>
      <c r="AV33" s="97">
        <f>IF(C33=2015, AU33/3,AU33)+AT33</f>
        <v>2.6666666666666665</v>
      </c>
    </row>
    <row r="34" spans="1:67" s="17" customFormat="1" x14ac:dyDescent="0.25">
      <c r="A34" s="71" t="s">
        <v>298</v>
      </c>
      <c r="B34" s="71" t="s">
        <v>231</v>
      </c>
      <c r="C34" s="72">
        <v>2015</v>
      </c>
      <c r="D34" s="2">
        <f t="shared" si="0"/>
        <v>0</v>
      </c>
      <c r="E34" s="283"/>
      <c r="F34" s="278"/>
      <c r="G34" s="120"/>
      <c r="H34" s="280"/>
      <c r="I34" s="261"/>
      <c r="J34" s="246"/>
      <c r="K34" s="241"/>
      <c r="L34" s="228"/>
      <c r="M34" s="215"/>
      <c r="N34" s="267">
        <f t="shared" si="1"/>
        <v>0</v>
      </c>
      <c r="O34" s="120"/>
      <c r="P34" s="96">
        <f t="shared" si="2"/>
        <v>0</v>
      </c>
      <c r="Q34" s="97">
        <f t="shared" si="3"/>
        <v>0</v>
      </c>
      <c r="R34" s="215"/>
      <c r="S34" s="108"/>
      <c r="T34" s="108"/>
      <c r="U34" s="108"/>
      <c r="V34" s="108"/>
      <c r="W34" s="108"/>
      <c r="X34" s="108"/>
      <c r="Y34" s="108">
        <f t="shared" si="7"/>
        <v>0</v>
      </c>
      <c r="Z34" s="122"/>
      <c r="AA34" s="96">
        <f t="shared" si="8"/>
        <v>0</v>
      </c>
      <c r="AB34" s="97">
        <f t="shared" si="9"/>
        <v>0</v>
      </c>
      <c r="AC34" s="101"/>
      <c r="AD34" s="108"/>
      <c r="AE34" s="108"/>
      <c r="AF34" s="108"/>
      <c r="AG34" s="108"/>
      <c r="AH34" s="108">
        <f>AV34</f>
        <v>0</v>
      </c>
      <c r="AI34" s="122"/>
      <c r="AJ34" s="96">
        <f>SUM(AD34:AH34)</f>
        <v>0</v>
      </c>
      <c r="AK34" s="97">
        <f>IF(C34=2016, AJ34/3,AJ34)+AI34</f>
        <v>0</v>
      </c>
      <c r="AL34" s="101"/>
      <c r="AM34" s="41"/>
      <c r="AN34" s="41"/>
      <c r="AO34" s="41">
        <f>0</f>
        <v>0</v>
      </c>
      <c r="AP34" s="41"/>
      <c r="AQ34" s="41"/>
      <c r="AR34" s="41"/>
      <c r="AS34" s="74"/>
      <c r="AT34" s="155"/>
      <c r="AU34" s="96">
        <f>SUM(AM34:AS34)</f>
        <v>0</v>
      </c>
      <c r="AV34" s="97">
        <f>IF(C34=2015, AU34/3,AU34)+AT34</f>
        <v>0</v>
      </c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spans="1:67" x14ac:dyDescent="0.25">
      <c r="A35" s="45" t="s">
        <v>77</v>
      </c>
      <c r="B35" s="66" t="s">
        <v>63</v>
      </c>
      <c r="C35" s="46">
        <v>2016</v>
      </c>
      <c r="D35" s="2">
        <f t="shared" si="0"/>
        <v>9</v>
      </c>
      <c r="E35" s="283">
        <f>0</f>
        <v>0</v>
      </c>
      <c r="F35" s="278">
        <f>6</f>
        <v>6</v>
      </c>
      <c r="H35" s="280"/>
      <c r="M35" s="228"/>
      <c r="N35" s="267">
        <f t="shared" si="1"/>
        <v>3</v>
      </c>
      <c r="O35" s="120"/>
      <c r="P35" s="96">
        <f t="shared" si="2"/>
        <v>3</v>
      </c>
      <c r="Q35" s="97">
        <f t="shared" si="3"/>
        <v>3</v>
      </c>
      <c r="R35" s="228"/>
      <c r="Y35" s="108">
        <f t="shared" si="7"/>
        <v>3</v>
      </c>
      <c r="Z35" s="122"/>
      <c r="AA35" s="96">
        <f t="shared" si="8"/>
        <v>3</v>
      </c>
      <c r="AB35" s="97">
        <f t="shared" si="9"/>
        <v>3</v>
      </c>
      <c r="AC35" s="101"/>
      <c r="AH35" s="108">
        <f>AV35</f>
        <v>9</v>
      </c>
      <c r="AI35" s="122"/>
      <c r="AJ35" s="96">
        <f>SUM(AD35:AH35)</f>
        <v>9</v>
      </c>
      <c r="AK35" s="97">
        <f>IF(C35=2016, AJ35/3,AJ35)+AI35</f>
        <v>3</v>
      </c>
      <c r="AL35" s="101"/>
      <c r="AM35" s="41"/>
      <c r="AN35" s="41">
        <v>6</v>
      </c>
      <c r="AO35" s="41"/>
      <c r="AP35" s="41">
        <f>3</f>
        <v>3</v>
      </c>
      <c r="AQ35" s="41"/>
      <c r="AR35" s="41"/>
      <c r="AT35" s="74"/>
      <c r="AU35" s="3">
        <f>SUM(AM35:AT35)</f>
        <v>9</v>
      </c>
      <c r="AV35" s="3">
        <f>AU35</f>
        <v>9</v>
      </c>
    </row>
    <row r="36" spans="1:67" x14ac:dyDescent="0.25">
      <c r="A36" s="11" t="s">
        <v>108</v>
      </c>
      <c r="B36" s="11" t="s">
        <v>41</v>
      </c>
      <c r="C36" s="3">
        <v>2014</v>
      </c>
      <c r="D36" s="2">
        <f t="shared" si="0"/>
        <v>0</v>
      </c>
      <c r="H36" s="280"/>
      <c r="J36" s="261"/>
      <c r="K36" s="261"/>
      <c r="L36" s="261"/>
      <c r="M36" s="261"/>
      <c r="N36" s="267">
        <f t="shared" si="1"/>
        <v>0</v>
      </c>
      <c r="O36" s="120"/>
      <c r="P36" s="96">
        <f t="shared" si="2"/>
        <v>0</v>
      </c>
      <c r="Q36" s="97">
        <f t="shared" si="3"/>
        <v>0</v>
      </c>
      <c r="R36" s="261"/>
      <c r="Y36" s="108">
        <f t="shared" si="7"/>
        <v>0</v>
      </c>
      <c r="Z36" s="122"/>
      <c r="AA36" s="96">
        <f t="shared" si="8"/>
        <v>0</v>
      </c>
      <c r="AB36" s="97">
        <f t="shared" si="9"/>
        <v>0</v>
      </c>
      <c r="AC36" s="286"/>
      <c r="AH36" s="108">
        <f>AV36</f>
        <v>0</v>
      </c>
      <c r="AI36" s="122"/>
      <c r="AJ36" s="96">
        <f>SUM(AD36:AH36)</f>
        <v>0</v>
      </c>
      <c r="AK36" s="97">
        <f>IF(C36=2016, AJ36/3,AJ36)+AI36</f>
        <v>0</v>
      </c>
      <c r="AL36" s="286"/>
      <c r="AM36" s="41">
        <f>0</f>
        <v>0</v>
      </c>
      <c r="AN36" s="41">
        <f>0</f>
        <v>0</v>
      </c>
      <c r="AO36" s="41"/>
      <c r="AP36" s="41">
        <f>0</f>
        <v>0</v>
      </c>
      <c r="AQ36" s="41"/>
      <c r="AR36" s="41"/>
      <c r="AS36" s="41">
        <f>0</f>
        <v>0</v>
      </c>
      <c r="AT36" s="95"/>
      <c r="AU36" s="96">
        <f>SUM(AM36:AS36)</f>
        <v>0</v>
      </c>
      <c r="AV36" s="97">
        <f>IF(C36=2015, AU36/3,AU36)+AT36</f>
        <v>0</v>
      </c>
    </row>
    <row r="37" spans="1:67" x14ac:dyDescent="0.25">
      <c r="A37" s="11" t="s">
        <v>1068</v>
      </c>
      <c r="B37" s="11" t="s">
        <v>994</v>
      </c>
      <c r="C37" s="3">
        <v>2016</v>
      </c>
      <c r="D37" s="2">
        <f t="shared" si="0"/>
        <v>9</v>
      </c>
      <c r="H37" s="280"/>
      <c r="M37" s="215">
        <f>9</f>
        <v>9</v>
      </c>
      <c r="N37" s="267">
        <f t="shared" si="1"/>
        <v>0</v>
      </c>
      <c r="O37" s="152"/>
      <c r="P37" s="96">
        <f t="shared" si="2"/>
        <v>9</v>
      </c>
      <c r="Q37" s="97">
        <f t="shared" si="3"/>
        <v>9</v>
      </c>
      <c r="AA37" s="68"/>
      <c r="AB37" s="68"/>
    </row>
    <row r="38" spans="1:67" x14ac:dyDescent="0.25">
      <c r="A38" s="45" t="s">
        <v>82</v>
      </c>
      <c r="B38" s="66" t="s">
        <v>36</v>
      </c>
      <c r="C38" s="46">
        <v>2015</v>
      </c>
      <c r="D38" s="2">
        <f t="shared" si="0"/>
        <v>30.666666666666668</v>
      </c>
      <c r="E38" s="287"/>
      <c r="F38" s="287"/>
      <c r="H38" s="290"/>
      <c r="I38" s="287"/>
      <c r="J38" s="287"/>
      <c r="K38" s="287"/>
      <c r="L38" s="287"/>
      <c r="M38" s="287"/>
      <c r="N38" s="267">
        <f t="shared" si="1"/>
        <v>30.666666666666668</v>
      </c>
      <c r="O38" s="152"/>
      <c r="P38" s="96">
        <f t="shared" si="2"/>
        <v>30.666666666666668</v>
      </c>
      <c r="Q38" s="97">
        <f t="shared" si="3"/>
        <v>30.666666666666668</v>
      </c>
      <c r="R38" s="287"/>
      <c r="Y38" s="108">
        <f>AK38</f>
        <v>30.666666666666668</v>
      </c>
      <c r="Z38" s="122"/>
      <c r="AA38" s="96">
        <f>S38+T38+U38+V38+W38+X38+Y38</f>
        <v>30.666666666666668</v>
      </c>
      <c r="AB38" s="97">
        <f>IF(C38=2017, AA38/3,AA38)+Z38</f>
        <v>30.666666666666668</v>
      </c>
      <c r="AC38" s="101"/>
      <c r="AE38" s="108">
        <f>0</f>
        <v>0</v>
      </c>
      <c r="AF38" s="108">
        <f>12</f>
        <v>12</v>
      </c>
      <c r="AG38" s="108">
        <f>12</f>
        <v>12</v>
      </c>
      <c r="AH38" s="108">
        <f>AV38</f>
        <v>6.666666666666667</v>
      </c>
      <c r="AI38" s="122"/>
      <c r="AJ38" s="96">
        <f>SUM(AD38:AH38)</f>
        <v>30.666666666666668</v>
      </c>
      <c r="AK38" s="97">
        <f>IF(C38=2016, AJ38/3,AJ38)+AI38</f>
        <v>30.666666666666668</v>
      </c>
      <c r="AL38" s="101"/>
      <c r="AM38" s="41">
        <f>0</f>
        <v>0</v>
      </c>
      <c r="AN38" s="41"/>
      <c r="AO38" s="41"/>
      <c r="AP38" s="41">
        <f>6</f>
        <v>6</v>
      </c>
      <c r="AQ38" s="41">
        <f>14</f>
        <v>14</v>
      </c>
      <c r="AR38" s="41">
        <f>0</f>
        <v>0</v>
      </c>
      <c r="AS38" s="74"/>
      <c r="AT38" s="155">
        <v>0</v>
      </c>
      <c r="AU38" s="96">
        <f>SUM(AM38:AS38)</f>
        <v>20</v>
      </c>
      <c r="AV38" s="97">
        <f>IF(C38=2015, AU38/3,AU38)+AT38</f>
        <v>6.666666666666667</v>
      </c>
    </row>
    <row r="39" spans="1:67" x14ac:dyDescent="0.25">
      <c r="A39" s="11" t="s">
        <v>1118</v>
      </c>
      <c r="B39" s="11" t="s">
        <v>6</v>
      </c>
      <c r="C39" s="3">
        <v>2016</v>
      </c>
      <c r="D39" s="2">
        <f t="shared" si="0"/>
        <v>12</v>
      </c>
      <c r="E39" s="154"/>
      <c r="F39" s="154"/>
      <c r="H39" s="280"/>
      <c r="K39" s="241">
        <f>4</f>
        <v>4</v>
      </c>
      <c r="L39" s="228">
        <f>1+7</f>
        <v>8</v>
      </c>
      <c r="N39" s="267">
        <f t="shared" si="1"/>
        <v>0</v>
      </c>
      <c r="O39" s="152"/>
      <c r="P39" s="96">
        <f t="shared" si="2"/>
        <v>12</v>
      </c>
      <c r="Q39" s="97">
        <f t="shared" si="3"/>
        <v>12</v>
      </c>
      <c r="AA39" s="68"/>
      <c r="AB39" s="68"/>
      <c r="AT39" s="17"/>
    </row>
    <row r="40" spans="1:67" x14ac:dyDescent="0.25">
      <c r="A40" s="11" t="s">
        <v>965</v>
      </c>
      <c r="B40" s="11" t="s">
        <v>938</v>
      </c>
      <c r="C40" s="3">
        <v>2016</v>
      </c>
      <c r="D40" s="2">
        <f t="shared" si="0"/>
        <v>9</v>
      </c>
      <c r="E40" s="283">
        <f>6</f>
        <v>6</v>
      </c>
      <c r="H40" s="280"/>
      <c r="M40" s="228"/>
      <c r="N40" s="267">
        <f t="shared" si="1"/>
        <v>3</v>
      </c>
      <c r="O40" s="152"/>
      <c r="P40" s="96">
        <f t="shared" si="2"/>
        <v>3</v>
      </c>
      <c r="Q40" s="97">
        <f t="shared" si="3"/>
        <v>3</v>
      </c>
      <c r="R40" s="228"/>
      <c r="S40" s="108">
        <f>3</f>
        <v>3</v>
      </c>
      <c r="T40" s="74"/>
      <c r="Y40" s="108">
        <f>AK40</f>
        <v>0</v>
      </c>
      <c r="AA40" s="96">
        <f>S40+T40+U40+V40+W40+X40+Y40</f>
        <v>3</v>
      </c>
      <c r="AB40" s="97">
        <f>IF(C40=2017, AA40/3,AA40)+Z40</f>
        <v>3</v>
      </c>
      <c r="AT40" s="17"/>
    </row>
    <row r="41" spans="1:67" x14ac:dyDescent="0.25">
      <c r="A41" s="11" t="s">
        <v>1117</v>
      </c>
      <c r="B41" s="11" t="s">
        <v>1010</v>
      </c>
      <c r="C41" s="3">
        <v>2014</v>
      </c>
      <c r="D41" s="2">
        <f t="shared" si="0"/>
        <v>2</v>
      </c>
      <c r="E41" s="108"/>
      <c r="F41" s="108"/>
      <c r="H41" s="101"/>
      <c r="I41" s="287"/>
      <c r="J41" s="287"/>
      <c r="K41" s="287"/>
      <c r="L41" s="287">
        <f>2</f>
        <v>2</v>
      </c>
      <c r="M41" s="287"/>
      <c r="N41" s="267">
        <f t="shared" si="1"/>
        <v>0</v>
      </c>
      <c r="O41" s="152"/>
      <c r="P41" s="96">
        <f t="shared" si="2"/>
        <v>2</v>
      </c>
      <c r="Q41" s="97">
        <f t="shared" si="3"/>
        <v>2</v>
      </c>
      <c r="R41" s="287"/>
      <c r="T41" s="74"/>
      <c r="AA41" s="96"/>
      <c r="AB41" s="97"/>
    </row>
    <row r="42" spans="1:67" s="17" customFormat="1" x14ac:dyDescent="0.25">
      <c r="A42" s="11" t="s">
        <v>940</v>
      </c>
      <c r="B42" s="11" t="s">
        <v>938</v>
      </c>
      <c r="C42" s="3">
        <v>2017</v>
      </c>
      <c r="D42" s="2">
        <f t="shared" si="0"/>
        <v>1</v>
      </c>
      <c r="E42" s="108"/>
      <c r="F42" s="108"/>
      <c r="G42" s="120"/>
      <c r="H42" s="101"/>
      <c r="I42" s="154"/>
      <c r="J42" s="154"/>
      <c r="K42" s="154"/>
      <c r="L42" s="154"/>
      <c r="M42" s="154"/>
      <c r="N42" s="267">
        <f t="shared" si="1"/>
        <v>1</v>
      </c>
      <c r="O42" s="122"/>
      <c r="P42" s="96">
        <f t="shared" si="2"/>
        <v>1</v>
      </c>
      <c r="Q42" s="97">
        <f t="shared" si="3"/>
        <v>1</v>
      </c>
      <c r="R42" s="154"/>
      <c r="S42" s="108"/>
      <c r="T42" s="108">
        <f>3</f>
        <v>3</v>
      </c>
      <c r="U42" s="101"/>
      <c r="V42" s="101"/>
      <c r="W42" s="101"/>
      <c r="X42" s="101"/>
      <c r="Y42" s="108">
        <f>AK42</f>
        <v>0</v>
      </c>
      <c r="Z42" s="101"/>
      <c r="AA42" s="96">
        <f>S42+T42+U42+V42+W42+X42+Y42</f>
        <v>3</v>
      </c>
      <c r="AB42" s="97">
        <f>IF(C42=2017, AA42/3,AA42)+Z42</f>
        <v>1</v>
      </c>
      <c r="AC42" s="101"/>
      <c r="AD42" s="101"/>
      <c r="AE42" s="101"/>
      <c r="AF42" s="101"/>
      <c r="AG42" s="101"/>
      <c r="AH42" s="101"/>
      <c r="AI42" s="101"/>
      <c r="AJ42" s="3"/>
      <c r="AK42" s="3"/>
      <c r="AL42" s="101"/>
      <c r="AM42" s="41"/>
      <c r="AN42" s="41"/>
      <c r="AO42" s="41"/>
      <c r="AP42" s="41"/>
      <c r="AQ42" s="41"/>
      <c r="AR42" s="41"/>
      <c r="AS42" s="13"/>
      <c r="AT42" s="74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spans="1:67" x14ac:dyDescent="0.25">
      <c r="A43" s="11" t="s">
        <v>681</v>
      </c>
      <c r="B43" s="66" t="s">
        <v>36</v>
      </c>
      <c r="C43" s="46">
        <v>2017</v>
      </c>
      <c r="D43" s="2">
        <f t="shared" si="0"/>
        <v>1</v>
      </c>
      <c r="H43" s="280"/>
      <c r="M43" s="228"/>
      <c r="N43" s="267">
        <f t="shared" si="1"/>
        <v>1</v>
      </c>
      <c r="O43" s="152"/>
      <c r="P43" s="96">
        <f t="shared" si="2"/>
        <v>1</v>
      </c>
      <c r="Q43" s="97">
        <f t="shared" si="3"/>
        <v>1</v>
      </c>
      <c r="R43" s="228"/>
      <c r="Y43" s="108">
        <f>AK43</f>
        <v>3</v>
      </c>
      <c r="Z43" s="122"/>
      <c r="AA43" s="96">
        <f>S43+T43+U43+V43+W43+X43+Y43</f>
        <v>3</v>
      </c>
      <c r="AB43" s="97">
        <f>IF(C43=2017, AA43/3,AA43)+Z43</f>
        <v>1</v>
      </c>
      <c r="AC43" s="101"/>
      <c r="AE43" s="108">
        <f>3</f>
        <v>3</v>
      </c>
      <c r="AI43" s="122"/>
      <c r="AJ43" s="3">
        <f>SUM(AD43:AH43)</f>
        <v>3</v>
      </c>
      <c r="AK43" s="3">
        <f>AJ43</f>
        <v>3</v>
      </c>
      <c r="AL43" s="101"/>
      <c r="AM43" s="41"/>
      <c r="AN43" s="41"/>
      <c r="AO43" s="41"/>
      <c r="AP43" s="41"/>
      <c r="AQ43" s="41"/>
      <c r="AR43" s="41"/>
      <c r="AT43" s="74"/>
    </row>
    <row r="44" spans="1:67" x14ac:dyDescent="0.25">
      <c r="A44" s="11" t="s">
        <v>407</v>
      </c>
      <c r="B44" s="11" t="s">
        <v>41</v>
      </c>
      <c r="C44" s="3">
        <v>2014</v>
      </c>
      <c r="D44" s="2">
        <f t="shared" si="0"/>
        <v>28</v>
      </c>
      <c r="E44" s="287"/>
      <c r="F44" s="287"/>
      <c r="H44" s="280"/>
      <c r="M44" s="228"/>
      <c r="N44" s="267">
        <f t="shared" si="1"/>
        <v>28</v>
      </c>
      <c r="O44" s="120"/>
      <c r="P44" s="96">
        <f t="shared" si="2"/>
        <v>28</v>
      </c>
      <c r="Q44" s="97">
        <f t="shared" si="3"/>
        <v>28</v>
      </c>
      <c r="R44" s="228"/>
      <c r="Y44" s="108">
        <f>AK44</f>
        <v>28</v>
      </c>
      <c r="Z44" s="122"/>
      <c r="AA44" s="96">
        <f>S44+T44+U44+V44+W44+X44+Y44</f>
        <v>28</v>
      </c>
      <c r="AB44" s="97">
        <f>IF(C44=2017, AA44/3,AA44)+Z44</f>
        <v>28</v>
      </c>
      <c r="AC44" s="286"/>
      <c r="AG44" s="108">
        <f>18</f>
        <v>18</v>
      </c>
      <c r="AH44" s="108">
        <f>AV44</f>
        <v>10</v>
      </c>
      <c r="AI44" s="122"/>
      <c r="AJ44" s="96">
        <f>SUM(AD44:AH44)</f>
        <v>28</v>
      </c>
      <c r="AK44" s="97">
        <f>IF(C44=2016, AJ44/3,AJ44)+AI44</f>
        <v>28</v>
      </c>
      <c r="AL44" s="286"/>
      <c r="AQ44" s="13">
        <f>10</f>
        <v>10</v>
      </c>
      <c r="AT44" s="155"/>
      <c r="AU44" s="96">
        <f>SUM(AM44:AS44)</f>
        <v>10</v>
      </c>
      <c r="AV44" s="97">
        <f>IF(C44=2015, AU44/3,AU44)+AT44</f>
        <v>10</v>
      </c>
    </row>
    <row r="45" spans="1:67" x14ac:dyDescent="0.25">
      <c r="A45" s="11" t="s">
        <v>939</v>
      </c>
      <c r="B45" s="11" t="s">
        <v>938</v>
      </c>
      <c r="C45" s="3">
        <v>2017</v>
      </c>
      <c r="D45" s="2">
        <f t="shared" si="0"/>
        <v>8</v>
      </c>
      <c r="E45" s="287">
        <f>6</f>
        <v>6</v>
      </c>
      <c r="F45" s="287"/>
      <c r="H45" s="290"/>
      <c r="I45" s="108"/>
      <c r="J45" s="108"/>
      <c r="K45" s="108"/>
      <c r="L45" s="108"/>
      <c r="M45" s="108"/>
      <c r="N45" s="267">
        <f t="shared" si="1"/>
        <v>2</v>
      </c>
      <c r="O45" s="122"/>
      <c r="P45" s="96">
        <f t="shared" si="2"/>
        <v>2</v>
      </c>
      <c r="Q45" s="97">
        <f t="shared" si="3"/>
        <v>2</v>
      </c>
      <c r="R45" s="108"/>
      <c r="T45" s="108">
        <f>6</f>
        <v>6</v>
      </c>
      <c r="U45" s="101"/>
      <c r="V45" s="101"/>
      <c r="W45" s="101"/>
      <c r="X45" s="101"/>
      <c r="Y45" s="108">
        <f>AK45</f>
        <v>0</v>
      </c>
      <c r="Z45" s="101"/>
      <c r="AA45" s="96">
        <f>S45+T45+U45+V45+W45+X45+Y45</f>
        <v>6</v>
      </c>
      <c r="AB45" s="97">
        <f>IF(C45=2017, AA45/3,AA45)+Z45</f>
        <v>2</v>
      </c>
      <c r="AC45" s="101"/>
      <c r="AD45" s="101"/>
      <c r="AE45" s="101"/>
      <c r="AF45" s="101"/>
      <c r="AG45" s="101"/>
      <c r="AH45" s="101"/>
      <c r="AI45" s="101"/>
      <c r="AL45" s="101"/>
      <c r="AM45" s="41"/>
      <c r="AN45" s="41"/>
      <c r="AO45" s="41"/>
      <c r="AP45" s="41"/>
      <c r="AQ45" s="41"/>
      <c r="AR45" s="41"/>
      <c r="AT45" s="74"/>
    </row>
    <row r="46" spans="1:67" s="17" customFormat="1" x14ac:dyDescent="0.25">
      <c r="A46" s="304" t="s">
        <v>15</v>
      </c>
      <c r="B46" s="305"/>
      <c r="C46" s="306"/>
      <c r="D46" s="2"/>
      <c r="E46" s="154"/>
      <c r="F46" s="154"/>
      <c r="G46" s="120"/>
      <c r="H46" s="280"/>
      <c r="I46" s="261"/>
      <c r="J46" s="246"/>
      <c r="K46" s="241"/>
      <c r="L46" s="228"/>
      <c r="M46" s="215"/>
      <c r="N46" s="267">
        <f t="shared" ref="N46:N53" si="10">AB46</f>
        <v>0</v>
      </c>
      <c r="O46" s="120"/>
      <c r="P46" s="96">
        <f t="shared" ref="P46:P53" si="11">I46+J46+K46+L46+M46+N46</f>
        <v>0</v>
      </c>
      <c r="Q46" s="97">
        <f t="shared" ref="Q46:Q53" si="12">IF(C46=2013, P46/3,P46)+O46</f>
        <v>0</v>
      </c>
      <c r="R46" s="215"/>
      <c r="S46" s="108"/>
      <c r="T46" s="108"/>
      <c r="U46" s="108"/>
      <c r="V46" s="108"/>
      <c r="W46" s="108"/>
      <c r="X46" s="108"/>
      <c r="Y46" s="108">
        <f t="shared" ref="Y46" si="13">AK46</f>
        <v>0</v>
      </c>
      <c r="Z46" s="108"/>
      <c r="AA46" s="96">
        <f t="shared" ref="AA46" si="14">S46+T46+U46+V46+W46+X46+Y46</f>
        <v>0</v>
      </c>
      <c r="AB46" s="97">
        <f t="shared" ref="AB46" si="15">IF(C46=2017, AA46/3,AA46)+Z46</f>
        <v>0</v>
      </c>
      <c r="AC46" s="139"/>
      <c r="AD46" s="108"/>
      <c r="AE46" s="108"/>
      <c r="AF46" s="108"/>
      <c r="AG46" s="108"/>
      <c r="AH46" s="108"/>
      <c r="AI46" s="108"/>
      <c r="AJ46" s="68"/>
      <c r="AK46" s="68"/>
      <c r="AL46" s="139"/>
      <c r="AM46" s="41"/>
      <c r="AN46" s="41"/>
      <c r="AO46" s="41"/>
      <c r="AP46" s="41"/>
      <c r="AQ46" s="41"/>
      <c r="AR46" s="41"/>
      <c r="AS46" s="41"/>
      <c r="AT46" s="68"/>
      <c r="AU46" s="68"/>
      <c r="AV46" s="68"/>
    </row>
    <row r="47" spans="1:67" s="17" customFormat="1" x14ac:dyDescent="0.25">
      <c r="A47" s="11" t="s">
        <v>1348</v>
      </c>
      <c r="B47" s="11" t="s">
        <v>1316</v>
      </c>
      <c r="C47" s="3">
        <v>2015</v>
      </c>
      <c r="D47" s="2">
        <f t="shared" ref="D47:D53" si="16">Q47+F47+E47</f>
        <v>4</v>
      </c>
      <c r="E47" s="283">
        <f>2</f>
        <v>2</v>
      </c>
      <c r="F47" s="278"/>
      <c r="G47" s="120"/>
      <c r="H47" s="280"/>
      <c r="I47" s="261">
        <f>2</f>
        <v>2</v>
      </c>
      <c r="J47" s="261"/>
      <c r="K47" s="261"/>
      <c r="L47" s="261"/>
      <c r="M47" s="261"/>
      <c r="N47" s="267">
        <f t="shared" si="10"/>
        <v>0</v>
      </c>
      <c r="O47" s="120"/>
      <c r="P47" s="96">
        <f t="shared" si="11"/>
        <v>2</v>
      </c>
      <c r="Q47" s="97">
        <f t="shared" si="12"/>
        <v>2</v>
      </c>
      <c r="R47" s="261"/>
      <c r="S47" s="108"/>
      <c r="T47" s="108"/>
      <c r="U47" s="108"/>
      <c r="V47" s="108"/>
      <c r="W47" s="108"/>
      <c r="X47" s="108"/>
      <c r="Y47" s="108"/>
      <c r="Z47" s="108"/>
      <c r="AA47" s="68"/>
      <c r="AB47" s="68"/>
      <c r="AC47" s="13"/>
      <c r="AD47" s="108"/>
      <c r="AE47" s="108"/>
      <c r="AF47" s="108"/>
      <c r="AG47" s="108"/>
      <c r="AH47" s="108"/>
      <c r="AI47" s="108"/>
      <c r="AJ47" s="3"/>
      <c r="AK47" s="3"/>
      <c r="AL47" s="13"/>
      <c r="AM47" s="13"/>
      <c r="AN47" s="13"/>
      <c r="AO47" s="13"/>
      <c r="AP47" s="13"/>
      <c r="AQ47" s="13"/>
      <c r="AR47" s="13"/>
      <c r="AS47" s="13"/>
      <c r="AT47" s="1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spans="1:67" s="17" customFormat="1" x14ac:dyDescent="0.25">
      <c r="A48" s="11" t="s">
        <v>1418</v>
      </c>
      <c r="B48" s="11" t="s">
        <v>1401</v>
      </c>
      <c r="C48" s="3">
        <v>2014</v>
      </c>
      <c r="D48" s="2">
        <f t="shared" si="16"/>
        <v>4</v>
      </c>
      <c r="E48" s="283">
        <f>4</f>
        <v>4</v>
      </c>
      <c r="F48" s="283"/>
      <c r="G48" s="120"/>
      <c r="H48" s="284"/>
      <c r="I48" s="283"/>
      <c r="J48" s="283"/>
      <c r="K48" s="283"/>
      <c r="L48" s="283"/>
      <c r="M48" s="283"/>
      <c r="N48" s="283"/>
      <c r="O48" s="120"/>
      <c r="P48" s="96"/>
      <c r="Q48" s="97"/>
      <c r="R48" s="283"/>
      <c r="S48" s="108"/>
      <c r="T48" s="108"/>
      <c r="U48" s="108"/>
      <c r="V48" s="108"/>
      <c r="W48" s="108"/>
      <c r="X48" s="108"/>
      <c r="Y48" s="108"/>
      <c r="Z48" s="108"/>
      <c r="AA48" s="68"/>
      <c r="AB48" s="68"/>
      <c r="AC48" s="13"/>
      <c r="AD48" s="108"/>
      <c r="AE48" s="108"/>
      <c r="AF48" s="108"/>
      <c r="AG48" s="108"/>
      <c r="AH48" s="108"/>
      <c r="AI48" s="108"/>
      <c r="AJ48" s="3"/>
      <c r="AK48" s="3"/>
      <c r="AL48" s="13"/>
      <c r="AM48" s="13"/>
      <c r="AN48" s="13"/>
      <c r="AO48" s="13"/>
      <c r="AP48" s="13"/>
      <c r="AQ48" s="13"/>
      <c r="AR48" s="13"/>
      <c r="AS48" s="13"/>
      <c r="AT48" s="1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spans="1:67" s="17" customFormat="1" x14ac:dyDescent="0.25">
      <c r="A49" s="11" t="s">
        <v>1417</v>
      </c>
      <c r="B49" s="11" t="s">
        <v>1401</v>
      </c>
      <c r="C49" s="3">
        <v>2015</v>
      </c>
      <c r="D49" s="2">
        <f t="shared" si="16"/>
        <v>41</v>
      </c>
      <c r="E49" s="283">
        <f>5+36</f>
        <v>41</v>
      </c>
      <c r="F49" s="283"/>
      <c r="G49" s="120"/>
      <c r="H49" s="284"/>
      <c r="I49" s="283"/>
      <c r="J49" s="283"/>
      <c r="K49" s="283"/>
      <c r="L49" s="283"/>
      <c r="M49" s="283"/>
      <c r="N49" s="283"/>
      <c r="O49" s="120"/>
      <c r="P49" s="96"/>
      <c r="Q49" s="97"/>
      <c r="R49" s="283"/>
      <c r="S49" s="108"/>
      <c r="T49" s="108"/>
      <c r="U49" s="108"/>
      <c r="V49" s="108"/>
      <c r="W49" s="108"/>
      <c r="X49" s="108"/>
      <c r="Y49" s="108"/>
      <c r="Z49" s="108"/>
      <c r="AA49" s="68"/>
      <c r="AB49" s="68"/>
      <c r="AC49" s="13"/>
      <c r="AD49" s="108"/>
      <c r="AE49" s="108"/>
      <c r="AF49" s="108"/>
      <c r="AG49" s="108"/>
      <c r="AH49" s="108"/>
      <c r="AI49" s="108"/>
      <c r="AJ49" s="3"/>
      <c r="AK49" s="3"/>
      <c r="AL49" s="13"/>
      <c r="AM49" s="13"/>
      <c r="AN49" s="13"/>
      <c r="AO49" s="13"/>
      <c r="AP49" s="13"/>
      <c r="AQ49" s="13"/>
      <c r="AR49" s="13"/>
      <c r="AS49" s="13"/>
      <c r="AT49" s="1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spans="1:67" x14ac:dyDescent="0.25">
      <c r="A50" s="11" t="s">
        <v>1419</v>
      </c>
      <c r="B50" s="11" t="s">
        <v>697</v>
      </c>
      <c r="C50" s="3">
        <v>2017</v>
      </c>
      <c r="D50" s="2">
        <f t="shared" si="16"/>
        <v>1</v>
      </c>
      <c r="E50" s="283">
        <f>1</f>
        <v>1</v>
      </c>
      <c r="F50" s="283"/>
      <c r="H50" s="284"/>
      <c r="I50" s="283"/>
      <c r="J50" s="283"/>
      <c r="K50" s="283"/>
      <c r="L50" s="283"/>
      <c r="M50" s="283"/>
      <c r="N50" s="283"/>
      <c r="O50" s="152"/>
      <c r="P50" s="96"/>
      <c r="Q50" s="97"/>
      <c r="R50" s="283"/>
      <c r="Z50" s="122"/>
      <c r="AA50" s="96"/>
      <c r="AB50" s="97"/>
      <c r="AC50" s="101"/>
      <c r="AI50" s="122"/>
      <c r="AJ50" s="96"/>
      <c r="AK50" s="97"/>
      <c r="AL50" s="101"/>
      <c r="AM50" s="41"/>
      <c r="AN50" s="41"/>
      <c r="AO50" s="41"/>
      <c r="AP50" s="41"/>
      <c r="AQ50" s="41"/>
      <c r="AR50" s="41"/>
      <c r="AS50" s="41"/>
      <c r="AT50" s="74"/>
    </row>
    <row r="51" spans="1:67" x14ac:dyDescent="0.25">
      <c r="A51" s="11" t="s">
        <v>1279</v>
      </c>
      <c r="B51" s="11" t="s">
        <v>529</v>
      </c>
      <c r="C51" s="3">
        <v>2016</v>
      </c>
      <c r="D51" s="2">
        <f t="shared" si="16"/>
        <v>57</v>
      </c>
      <c r="E51" s="154">
        <f>39</f>
        <v>39</v>
      </c>
      <c r="F51" s="154"/>
      <c r="H51" s="280"/>
      <c r="J51" s="246">
        <f>18</f>
        <v>18</v>
      </c>
      <c r="K51" s="246"/>
      <c r="L51" s="246"/>
      <c r="M51" s="246"/>
      <c r="N51" s="267">
        <f t="shared" si="10"/>
        <v>0</v>
      </c>
      <c r="O51" s="152"/>
      <c r="P51" s="96">
        <f t="shared" si="11"/>
        <v>18</v>
      </c>
      <c r="Q51" s="97">
        <f t="shared" si="12"/>
        <v>18</v>
      </c>
      <c r="R51" s="246"/>
      <c r="T51" s="208"/>
      <c r="Z51" s="122"/>
      <c r="AA51" s="96"/>
      <c r="AB51" s="97"/>
      <c r="AC51" s="101"/>
      <c r="AI51" s="122"/>
      <c r="AJ51" s="96"/>
      <c r="AK51" s="97"/>
      <c r="AL51" s="101"/>
      <c r="AM51" s="41"/>
      <c r="AN51" s="41"/>
      <c r="AO51" s="41"/>
      <c r="AP51" s="41"/>
      <c r="AQ51" s="41"/>
      <c r="AR51" s="41"/>
      <c r="AS51" s="41"/>
      <c r="AT51" s="74"/>
    </row>
    <row r="52" spans="1:67" x14ac:dyDescent="0.25">
      <c r="A52" s="11" t="s">
        <v>1420</v>
      </c>
      <c r="B52" s="11" t="s">
        <v>1401</v>
      </c>
      <c r="C52" s="3">
        <v>2017</v>
      </c>
      <c r="D52" s="2">
        <f t="shared" si="16"/>
        <v>0</v>
      </c>
      <c r="E52" s="154">
        <f>0</f>
        <v>0</v>
      </c>
      <c r="F52" s="154"/>
      <c r="H52" s="284"/>
      <c r="I52" s="283"/>
      <c r="J52" s="283"/>
      <c r="K52" s="283"/>
      <c r="L52" s="283"/>
      <c r="M52" s="283"/>
      <c r="N52" s="283"/>
      <c r="O52" s="152"/>
      <c r="P52" s="96"/>
      <c r="Q52" s="97"/>
      <c r="R52" s="283"/>
      <c r="Z52" s="122"/>
      <c r="AA52" s="96"/>
      <c r="AB52" s="97"/>
      <c r="AC52" s="101"/>
      <c r="AI52" s="122"/>
      <c r="AJ52" s="96"/>
      <c r="AK52" s="97"/>
      <c r="AL52" s="101"/>
      <c r="AM52" s="41"/>
      <c r="AN52" s="41"/>
      <c r="AO52" s="41"/>
      <c r="AP52" s="41"/>
      <c r="AQ52" s="41"/>
      <c r="AR52" s="41"/>
      <c r="AS52" s="41"/>
      <c r="AT52" s="74"/>
    </row>
    <row r="53" spans="1:67" x14ac:dyDescent="0.25">
      <c r="A53" s="11" t="s">
        <v>1349</v>
      </c>
      <c r="B53" s="11" t="s">
        <v>1316</v>
      </c>
      <c r="C53" s="3">
        <v>2015</v>
      </c>
      <c r="D53" s="2">
        <f t="shared" si="16"/>
        <v>3</v>
      </c>
      <c r="E53" s="283">
        <f>3</f>
        <v>3</v>
      </c>
      <c r="H53" s="280"/>
      <c r="I53" s="154">
        <f>0</f>
        <v>0</v>
      </c>
      <c r="J53" s="154"/>
      <c r="K53" s="154"/>
      <c r="L53" s="154"/>
      <c r="M53" s="154"/>
      <c r="N53" s="267">
        <f t="shared" si="10"/>
        <v>0</v>
      </c>
      <c r="O53" s="122"/>
      <c r="P53" s="96">
        <f t="shared" si="11"/>
        <v>0</v>
      </c>
      <c r="Q53" s="97">
        <f t="shared" si="12"/>
        <v>0</v>
      </c>
      <c r="R53" s="154"/>
      <c r="T53" s="74"/>
      <c r="Z53" s="122"/>
      <c r="AA53" s="96"/>
      <c r="AB53" s="97"/>
      <c r="AC53" s="101"/>
      <c r="AI53" s="122"/>
      <c r="AJ53" s="96"/>
      <c r="AK53" s="97"/>
      <c r="AL53" s="101"/>
      <c r="AM53" s="41"/>
      <c r="AN53" s="41"/>
      <c r="AO53" s="41"/>
      <c r="AP53" s="41"/>
      <c r="AQ53" s="41"/>
      <c r="AR53" s="41"/>
      <c r="AS53" s="41"/>
      <c r="AT53" s="74"/>
    </row>
    <row r="54" spans="1:67" x14ac:dyDescent="0.25">
      <c r="D54" s="13"/>
      <c r="E54" s="108"/>
      <c r="F54" s="108"/>
      <c r="H54" s="101"/>
      <c r="O54" s="120"/>
      <c r="P54" s="68"/>
      <c r="Q54" s="68"/>
      <c r="AA54" s="68"/>
      <c r="AB54" s="68"/>
    </row>
    <row r="55" spans="1:67" x14ac:dyDescent="0.25">
      <c r="D55" s="13"/>
      <c r="H55" s="280"/>
      <c r="O55" s="152"/>
      <c r="P55" s="68"/>
      <c r="Q55" s="68"/>
      <c r="AA55" s="68"/>
      <c r="AB55" s="68"/>
    </row>
    <row r="56" spans="1:67" x14ac:dyDescent="0.25">
      <c r="D56" s="13"/>
      <c r="E56" s="108"/>
      <c r="F56" s="108"/>
      <c r="H56" s="101"/>
      <c r="O56" s="152"/>
      <c r="P56" s="68"/>
      <c r="Q56" s="68"/>
      <c r="AA56" s="68"/>
      <c r="AB56" s="68"/>
    </row>
    <row r="57" spans="1:67" x14ac:dyDescent="0.25">
      <c r="D57" s="13"/>
      <c r="H57" s="280"/>
      <c r="O57" s="120"/>
      <c r="P57" s="68"/>
      <c r="Q57" s="68"/>
      <c r="AA57" s="68"/>
      <c r="AB57" s="68"/>
    </row>
    <row r="58" spans="1:67" x14ac:dyDescent="0.25">
      <c r="D58" s="13"/>
      <c r="H58" s="280"/>
      <c r="O58" s="152"/>
      <c r="P58" s="68"/>
      <c r="Q58" s="68"/>
      <c r="AA58" s="68"/>
      <c r="AB58" s="68"/>
    </row>
    <row r="59" spans="1:67" x14ac:dyDescent="0.25">
      <c r="D59" s="13"/>
      <c r="H59" s="280"/>
      <c r="O59" s="120"/>
      <c r="P59" s="68"/>
      <c r="Q59" s="68"/>
      <c r="AA59" s="68"/>
      <c r="AB59" s="68"/>
    </row>
    <row r="60" spans="1:67" x14ac:dyDescent="0.25">
      <c r="D60" s="13"/>
      <c r="H60" s="280"/>
      <c r="I60" s="108"/>
      <c r="J60" s="108"/>
      <c r="K60" s="108"/>
      <c r="L60" s="108"/>
      <c r="M60" s="108"/>
      <c r="N60" s="108"/>
      <c r="O60" s="122"/>
      <c r="P60" s="68"/>
      <c r="Q60" s="68"/>
      <c r="R60" s="108"/>
      <c r="AA60" s="68"/>
      <c r="AB60" s="68"/>
    </row>
    <row r="61" spans="1:67" x14ac:dyDescent="0.25">
      <c r="D61" s="13"/>
      <c r="H61" s="280"/>
      <c r="I61" s="154"/>
      <c r="J61" s="154"/>
      <c r="K61" s="154"/>
      <c r="L61" s="154"/>
      <c r="M61" s="154"/>
      <c r="N61" s="154"/>
      <c r="O61" s="122"/>
      <c r="P61" s="68"/>
      <c r="Q61" s="68"/>
      <c r="R61" s="154"/>
      <c r="AA61" s="68"/>
      <c r="AB61" s="68"/>
    </row>
    <row r="62" spans="1:67" x14ac:dyDescent="0.25">
      <c r="D62" s="13"/>
      <c r="O62" s="120"/>
      <c r="P62" s="68"/>
      <c r="Q62" s="68"/>
      <c r="AA62" s="68"/>
      <c r="AB62" s="68"/>
    </row>
    <row r="63" spans="1:67" x14ac:dyDescent="0.25">
      <c r="D63" s="13"/>
      <c r="H63" s="280"/>
      <c r="O63" s="120"/>
      <c r="P63" s="68"/>
      <c r="Q63" s="68"/>
      <c r="AA63" s="68"/>
      <c r="AB63" s="68"/>
    </row>
    <row r="64" spans="1:67" x14ac:dyDescent="0.25">
      <c r="D64" s="13"/>
      <c r="H64" s="280"/>
      <c r="I64" s="154"/>
      <c r="J64" s="154"/>
      <c r="K64" s="154"/>
      <c r="L64" s="154"/>
      <c r="M64" s="154"/>
      <c r="N64" s="154"/>
      <c r="O64" s="152"/>
      <c r="P64" s="68"/>
      <c r="Q64" s="68"/>
      <c r="R64" s="154"/>
      <c r="AA64" s="68"/>
      <c r="AB64" s="68"/>
    </row>
    <row r="65" spans="4:28" x14ac:dyDescent="0.25">
      <c r="D65" s="13"/>
      <c r="E65" s="108"/>
      <c r="F65" s="108"/>
      <c r="H65" s="101"/>
      <c r="I65" s="154"/>
      <c r="J65" s="154"/>
      <c r="K65" s="154"/>
      <c r="L65" s="154"/>
      <c r="M65" s="154"/>
      <c r="N65" s="154"/>
      <c r="O65" s="152"/>
      <c r="P65" s="68"/>
      <c r="Q65" s="68"/>
      <c r="R65" s="154"/>
      <c r="AA65" s="68"/>
      <c r="AB65" s="68"/>
    </row>
    <row r="66" spans="4:28" x14ac:dyDescent="0.25">
      <c r="D66" s="13"/>
      <c r="O66" s="120"/>
      <c r="P66" s="68"/>
      <c r="Q66" s="68"/>
      <c r="AA66" s="68"/>
      <c r="AB66" s="68"/>
    </row>
    <row r="67" spans="4:28" x14ac:dyDescent="0.25">
      <c r="D67" s="13"/>
      <c r="E67" s="154"/>
      <c r="F67" s="154"/>
      <c r="H67" s="280"/>
      <c r="O67" s="120"/>
      <c r="P67" s="68"/>
      <c r="Q67" s="68"/>
      <c r="AA67" s="68"/>
      <c r="AB67" s="68"/>
    </row>
    <row r="68" spans="4:28" x14ac:dyDescent="0.25">
      <c r="D68" s="13"/>
      <c r="H68" s="280"/>
      <c r="I68" s="154"/>
      <c r="J68" s="154"/>
      <c r="K68" s="154"/>
      <c r="L68" s="154"/>
      <c r="M68" s="154"/>
      <c r="N68" s="154"/>
      <c r="O68" s="122"/>
      <c r="P68" s="68"/>
      <c r="Q68" s="68"/>
      <c r="R68" s="154"/>
      <c r="AA68" s="68"/>
      <c r="AB68" s="68"/>
    </row>
    <row r="69" spans="4:28" x14ac:dyDescent="0.25">
      <c r="D69" s="13"/>
      <c r="E69" s="154"/>
      <c r="F69" s="154"/>
      <c r="H69" s="280"/>
      <c r="O69" s="120"/>
      <c r="P69" s="68"/>
      <c r="Q69" s="68"/>
      <c r="AA69" s="68"/>
      <c r="AB69" s="68"/>
    </row>
    <row r="70" spans="4:28" x14ac:dyDescent="0.25">
      <c r="D70" s="13"/>
      <c r="H70" s="280"/>
      <c r="O70" s="120"/>
      <c r="P70" s="68"/>
      <c r="Q70" s="68"/>
      <c r="AA70" s="68"/>
      <c r="AB70" s="68"/>
    </row>
    <row r="71" spans="4:28" x14ac:dyDescent="0.25">
      <c r="D71" s="13"/>
      <c r="H71" s="280"/>
      <c r="I71" s="154"/>
      <c r="J71" s="154"/>
      <c r="K71" s="154"/>
      <c r="L71" s="154"/>
      <c r="M71" s="154"/>
      <c r="N71" s="154"/>
      <c r="O71" s="152"/>
      <c r="P71" s="68"/>
      <c r="Q71" s="68"/>
      <c r="R71" s="154"/>
      <c r="AA71" s="68"/>
      <c r="AB71" s="68"/>
    </row>
    <row r="72" spans="4:28" x14ac:dyDescent="0.25">
      <c r="D72" s="13"/>
      <c r="E72" s="154"/>
      <c r="F72" s="154"/>
      <c r="H72" s="280"/>
      <c r="O72" s="120"/>
      <c r="P72" s="68"/>
      <c r="Q72" s="68"/>
      <c r="AA72" s="68"/>
      <c r="AB72" s="68"/>
    </row>
    <row r="73" spans="4:28" x14ac:dyDescent="0.25">
      <c r="D73" s="13"/>
      <c r="H73" s="280"/>
      <c r="I73" s="154"/>
      <c r="J73" s="154"/>
      <c r="K73" s="154"/>
      <c r="L73" s="154"/>
      <c r="M73" s="154"/>
      <c r="N73" s="154"/>
      <c r="O73" s="152"/>
      <c r="P73" s="68"/>
      <c r="Q73" s="68"/>
      <c r="R73" s="154"/>
      <c r="AA73" s="68"/>
      <c r="AB73" s="68"/>
    </row>
    <row r="74" spans="4:28" x14ac:dyDescent="0.25">
      <c r="D74" s="13"/>
      <c r="E74" s="154"/>
      <c r="F74" s="154"/>
      <c r="H74" s="280"/>
      <c r="I74" s="108"/>
      <c r="J74" s="108"/>
      <c r="K74" s="108"/>
      <c r="L74" s="108"/>
      <c r="M74" s="108"/>
      <c r="N74" s="108"/>
      <c r="O74" s="122"/>
      <c r="P74" s="68"/>
      <c r="Q74" s="68"/>
      <c r="R74" s="108"/>
      <c r="AA74" s="68"/>
      <c r="AB74" s="68"/>
    </row>
    <row r="75" spans="4:28" x14ac:dyDescent="0.25">
      <c r="D75" s="13"/>
      <c r="E75" s="154"/>
      <c r="F75" s="154"/>
      <c r="O75" s="152"/>
      <c r="P75" s="68"/>
      <c r="Q75" s="68"/>
      <c r="AA75" s="68"/>
      <c r="AB75" s="68"/>
    </row>
    <row r="76" spans="4:28" x14ac:dyDescent="0.25">
      <c r="D76" s="13"/>
      <c r="E76" s="108"/>
      <c r="F76" s="108"/>
      <c r="H76" s="101"/>
      <c r="I76" s="154"/>
      <c r="J76" s="154"/>
      <c r="K76" s="154"/>
      <c r="L76" s="154"/>
      <c r="M76" s="154"/>
      <c r="N76" s="154"/>
      <c r="O76" s="122"/>
      <c r="P76" s="68"/>
      <c r="Q76" s="68"/>
      <c r="R76" s="154"/>
      <c r="AA76" s="68"/>
      <c r="AB76" s="68"/>
    </row>
    <row r="77" spans="4:28" x14ac:dyDescent="0.25">
      <c r="D77" s="13"/>
      <c r="O77" s="120"/>
      <c r="P77" s="68"/>
      <c r="Q77" s="68"/>
      <c r="AA77" s="68"/>
      <c r="AB77" s="68"/>
    </row>
    <row r="78" spans="4:28" x14ac:dyDescent="0.25">
      <c r="D78" s="13"/>
      <c r="O78" s="120"/>
      <c r="P78" s="68"/>
      <c r="Q78" s="68"/>
      <c r="AA78" s="68"/>
      <c r="AB78" s="68"/>
    </row>
    <row r="79" spans="4:28" x14ac:dyDescent="0.25">
      <c r="D79" s="13"/>
      <c r="H79" s="280"/>
      <c r="I79" s="154"/>
      <c r="J79" s="154"/>
      <c r="K79" s="154"/>
      <c r="L79" s="154"/>
      <c r="M79" s="154"/>
      <c r="N79" s="154"/>
      <c r="O79" s="152"/>
      <c r="P79" s="68"/>
      <c r="Q79" s="68"/>
      <c r="R79" s="154"/>
      <c r="AA79" s="68"/>
      <c r="AB79" s="68"/>
    </row>
    <row r="80" spans="4:28" x14ac:dyDescent="0.25">
      <c r="D80" s="13"/>
      <c r="E80" s="154"/>
      <c r="F80" s="154"/>
      <c r="H80" s="280"/>
      <c r="I80" s="154"/>
      <c r="J80" s="154"/>
      <c r="K80" s="154"/>
      <c r="L80" s="154"/>
      <c r="M80" s="154"/>
      <c r="N80" s="154"/>
      <c r="O80" s="152"/>
      <c r="P80" s="68"/>
      <c r="Q80" s="68"/>
      <c r="R80" s="154"/>
      <c r="AA80" s="68"/>
      <c r="AB80" s="68"/>
    </row>
    <row r="81" spans="4:28" x14ac:dyDescent="0.25">
      <c r="D81" s="13"/>
      <c r="I81" s="108"/>
      <c r="J81" s="108"/>
      <c r="K81" s="108"/>
      <c r="L81" s="108"/>
      <c r="M81" s="108"/>
      <c r="N81" s="108"/>
      <c r="O81" s="122"/>
      <c r="P81" s="68"/>
      <c r="Q81" s="68"/>
      <c r="R81" s="108"/>
      <c r="AA81" s="68"/>
      <c r="AB81" s="68"/>
    </row>
    <row r="82" spans="4:28" x14ac:dyDescent="0.25">
      <c r="D82" s="13"/>
      <c r="E82" s="154"/>
      <c r="F82" s="154"/>
      <c r="I82" s="154"/>
      <c r="J82" s="154"/>
      <c r="K82" s="154"/>
      <c r="L82" s="154"/>
      <c r="M82" s="154"/>
      <c r="N82" s="154"/>
      <c r="O82" s="152"/>
      <c r="P82" s="68"/>
      <c r="Q82" s="68"/>
      <c r="R82" s="154"/>
      <c r="AA82" s="68"/>
      <c r="AB82" s="68"/>
    </row>
    <row r="83" spans="4:28" x14ac:dyDescent="0.25">
      <c r="D83" s="13"/>
      <c r="E83" s="108"/>
      <c r="F83" s="108"/>
      <c r="H83" s="101"/>
      <c r="I83" s="154"/>
      <c r="J83" s="154"/>
      <c r="K83" s="154"/>
      <c r="L83" s="154"/>
      <c r="M83" s="154"/>
      <c r="N83" s="154"/>
      <c r="O83" s="152"/>
      <c r="P83" s="68"/>
      <c r="Q83" s="68"/>
      <c r="R83" s="154"/>
      <c r="AA83" s="68"/>
      <c r="AB83" s="68"/>
    </row>
    <row r="84" spans="4:28" x14ac:dyDescent="0.25">
      <c r="D84" s="13"/>
      <c r="E84" s="154"/>
      <c r="F84" s="154"/>
      <c r="H84" s="280"/>
      <c r="O84" s="120"/>
      <c r="P84" s="68"/>
      <c r="Q84" s="68"/>
      <c r="AA84" s="68"/>
      <c r="AB84" s="68"/>
    </row>
    <row r="85" spans="4:28" x14ac:dyDescent="0.25">
      <c r="D85" s="13"/>
      <c r="E85" s="154"/>
      <c r="F85" s="154"/>
      <c r="O85" s="120"/>
      <c r="P85" s="68"/>
      <c r="Q85" s="68"/>
      <c r="AA85" s="68"/>
      <c r="AB85" s="68"/>
    </row>
    <row r="86" spans="4:28" x14ac:dyDescent="0.25">
      <c r="D86" s="13"/>
      <c r="H86" s="280"/>
      <c r="O86" s="152"/>
      <c r="P86" s="68"/>
      <c r="Q86" s="68"/>
      <c r="AA86" s="68"/>
      <c r="AB86" s="68"/>
    </row>
    <row r="87" spans="4:28" x14ac:dyDescent="0.25">
      <c r="D87" s="13"/>
      <c r="H87" s="280"/>
      <c r="O87" s="152"/>
      <c r="P87" s="68"/>
      <c r="Q87" s="68"/>
      <c r="AA87" s="68"/>
      <c r="AB87" s="68"/>
    </row>
    <row r="88" spans="4:28" x14ac:dyDescent="0.25">
      <c r="D88" s="13"/>
      <c r="E88" s="250"/>
      <c r="F88" s="250"/>
      <c r="O88" s="120"/>
      <c r="P88" s="68"/>
      <c r="Q88" s="68"/>
      <c r="AA88" s="68"/>
      <c r="AB88" s="68"/>
    </row>
    <row r="89" spans="4:28" x14ac:dyDescent="0.25">
      <c r="D89" s="13"/>
      <c r="E89" s="154"/>
      <c r="F89" s="154"/>
      <c r="I89" s="154"/>
      <c r="J89" s="154"/>
      <c r="K89" s="154"/>
      <c r="L89" s="154"/>
      <c r="M89" s="154"/>
      <c r="N89" s="154"/>
      <c r="O89" s="152"/>
      <c r="P89" s="68"/>
      <c r="Q89" s="68"/>
      <c r="R89" s="154"/>
      <c r="AA89" s="68"/>
      <c r="AB89" s="68"/>
    </row>
    <row r="90" spans="4:28" x14ac:dyDescent="0.25">
      <c r="D90" s="13"/>
      <c r="H90" s="280"/>
      <c r="O90" s="120"/>
      <c r="P90" s="68"/>
      <c r="Q90" s="68"/>
      <c r="AA90" s="68"/>
      <c r="AB90" s="68"/>
    </row>
    <row r="91" spans="4:28" x14ac:dyDescent="0.25">
      <c r="D91" s="13"/>
      <c r="E91" s="154"/>
      <c r="F91" s="154"/>
      <c r="O91" s="120"/>
      <c r="P91" s="68"/>
      <c r="Q91" s="68"/>
      <c r="AA91" s="68"/>
      <c r="AB91" s="68"/>
    </row>
    <row r="92" spans="4:28" x14ac:dyDescent="0.25">
      <c r="D92" s="13"/>
      <c r="H92" s="280"/>
      <c r="O92" s="120"/>
      <c r="P92" s="68"/>
      <c r="Q92" s="68"/>
      <c r="AA92" s="68"/>
      <c r="AB92" s="68"/>
    </row>
    <row r="93" spans="4:28" x14ac:dyDescent="0.25">
      <c r="D93" s="13"/>
      <c r="E93" s="154"/>
      <c r="F93" s="154"/>
      <c r="O93" s="152"/>
      <c r="P93" s="68"/>
      <c r="Q93" s="68"/>
      <c r="AA93" s="68"/>
      <c r="AB93" s="68"/>
    </row>
    <row r="94" spans="4:28" x14ac:dyDescent="0.25">
      <c r="D94" s="13"/>
      <c r="H94" s="280"/>
      <c r="O94" s="152"/>
      <c r="P94" s="68"/>
      <c r="Q94" s="68"/>
      <c r="AA94" s="68"/>
      <c r="AB94" s="68"/>
    </row>
    <row r="95" spans="4:28" x14ac:dyDescent="0.25">
      <c r="D95" s="13"/>
      <c r="E95" s="154"/>
      <c r="F95" s="154"/>
      <c r="O95" s="152"/>
      <c r="P95" s="68"/>
      <c r="Q95" s="68"/>
      <c r="AA95" s="68"/>
      <c r="AB95" s="68"/>
    </row>
    <row r="96" spans="4:28" x14ac:dyDescent="0.25">
      <c r="D96" s="13"/>
      <c r="E96" s="154"/>
      <c r="F96" s="154"/>
      <c r="I96" s="108"/>
      <c r="J96" s="108"/>
      <c r="K96" s="108"/>
      <c r="L96" s="108"/>
      <c r="M96" s="108"/>
      <c r="N96" s="108"/>
      <c r="O96" s="122"/>
      <c r="P96" s="68"/>
      <c r="Q96" s="68"/>
      <c r="R96" s="108"/>
      <c r="AA96" s="68"/>
      <c r="AB96" s="68"/>
    </row>
    <row r="97" spans="4:28" x14ac:dyDescent="0.25">
      <c r="D97" s="13"/>
      <c r="H97" s="280"/>
      <c r="I97" s="154"/>
      <c r="J97" s="154"/>
      <c r="K97" s="154"/>
      <c r="L97" s="154"/>
      <c r="M97" s="154"/>
      <c r="N97" s="154"/>
      <c r="O97" s="122"/>
      <c r="P97" s="68"/>
      <c r="Q97" s="68"/>
      <c r="R97" s="154"/>
      <c r="AA97" s="68"/>
      <c r="AB97" s="68"/>
    </row>
    <row r="98" spans="4:28" x14ac:dyDescent="0.25">
      <c r="D98" s="13"/>
      <c r="H98" s="280"/>
      <c r="O98" s="120"/>
      <c r="P98" s="68"/>
      <c r="Q98" s="68"/>
      <c r="AA98" s="68"/>
      <c r="AB98" s="68"/>
    </row>
    <row r="99" spans="4:28" x14ac:dyDescent="0.25">
      <c r="D99" s="13"/>
      <c r="E99" s="108"/>
      <c r="F99" s="108"/>
      <c r="H99" s="101"/>
      <c r="O99" s="152"/>
      <c r="P99" s="68"/>
      <c r="Q99" s="68"/>
      <c r="AA99" s="68"/>
      <c r="AB99" s="68"/>
    </row>
    <row r="100" spans="4:28" x14ac:dyDescent="0.25">
      <c r="D100" s="13"/>
      <c r="E100" s="154"/>
      <c r="F100" s="154"/>
      <c r="H100" s="280"/>
      <c r="O100" s="152"/>
      <c r="P100" s="68"/>
      <c r="Q100" s="68"/>
      <c r="AA100" s="68"/>
      <c r="AB100" s="68"/>
    </row>
    <row r="101" spans="4:28" x14ac:dyDescent="0.25">
      <c r="D101" s="13"/>
      <c r="H101" s="280"/>
      <c r="O101" s="120"/>
      <c r="P101" s="68"/>
      <c r="Q101" s="68"/>
      <c r="AA101" s="68"/>
      <c r="AB101" s="68"/>
    </row>
    <row r="102" spans="4:28" x14ac:dyDescent="0.25">
      <c r="D102" s="13"/>
      <c r="I102" s="154"/>
      <c r="J102" s="154"/>
      <c r="K102" s="154"/>
      <c r="L102" s="154"/>
      <c r="M102" s="154"/>
      <c r="N102" s="154"/>
      <c r="O102" s="122"/>
      <c r="P102" s="68"/>
      <c r="Q102" s="68"/>
      <c r="R102" s="154"/>
      <c r="AA102" s="68"/>
      <c r="AB102" s="68"/>
    </row>
    <row r="103" spans="4:28" x14ac:dyDescent="0.25">
      <c r="D103" s="13"/>
      <c r="H103" s="280"/>
      <c r="I103" s="154"/>
      <c r="J103" s="154"/>
      <c r="K103" s="154"/>
      <c r="L103" s="154"/>
      <c r="M103" s="154"/>
      <c r="N103" s="154"/>
      <c r="O103" s="122"/>
      <c r="P103" s="68"/>
      <c r="Q103" s="68"/>
      <c r="R103" s="154"/>
      <c r="AA103" s="68"/>
      <c r="AB103" s="68"/>
    </row>
    <row r="104" spans="4:28" x14ac:dyDescent="0.25">
      <c r="D104" s="13"/>
      <c r="E104" s="154"/>
      <c r="F104" s="154"/>
      <c r="H104" s="280"/>
      <c r="O104" s="152"/>
      <c r="P104" s="68"/>
      <c r="Q104" s="68"/>
      <c r="AA104" s="68"/>
      <c r="AB104" s="68"/>
    </row>
    <row r="105" spans="4:28" x14ac:dyDescent="0.25">
      <c r="D105" s="13"/>
      <c r="E105" s="154"/>
      <c r="F105" s="154"/>
      <c r="H105" s="280"/>
      <c r="O105" s="120"/>
      <c r="P105" s="68"/>
      <c r="Q105" s="68"/>
      <c r="AA105" s="68"/>
      <c r="AB105" s="68"/>
    </row>
    <row r="106" spans="4:28" x14ac:dyDescent="0.25">
      <c r="D106" s="13"/>
      <c r="O106" s="120"/>
      <c r="P106" s="68"/>
      <c r="Q106" s="68"/>
      <c r="AA106" s="68"/>
      <c r="AB106" s="68"/>
    </row>
    <row r="107" spans="4:28" x14ac:dyDescent="0.25">
      <c r="D107" s="13"/>
      <c r="O107" s="152"/>
      <c r="P107" s="68"/>
      <c r="Q107" s="68"/>
      <c r="AA107" s="68"/>
      <c r="AB107" s="68"/>
    </row>
    <row r="108" spans="4:28" x14ac:dyDescent="0.25">
      <c r="D108" s="13"/>
      <c r="E108" s="154"/>
      <c r="F108" s="154"/>
      <c r="H108" s="280"/>
      <c r="O108" s="120"/>
      <c r="P108" s="68"/>
      <c r="Q108" s="68"/>
      <c r="AA108" s="68"/>
      <c r="AB108" s="68"/>
    </row>
    <row r="109" spans="4:28" x14ac:dyDescent="0.25">
      <c r="D109" s="13"/>
      <c r="I109" s="154"/>
      <c r="J109" s="154"/>
      <c r="K109" s="154"/>
      <c r="L109" s="154"/>
      <c r="M109" s="154"/>
      <c r="N109" s="154"/>
      <c r="O109" s="122"/>
      <c r="P109" s="68"/>
      <c r="Q109" s="68"/>
      <c r="R109" s="154"/>
      <c r="AA109" s="68"/>
      <c r="AB109" s="68"/>
    </row>
    <row r="110" spans="4:28" x14ac:dyDescent="0.25">
      <c r="D110" s="13"/>
      <c r="E110" s="108"/>
      <c r="F110" s="108"/>
      <c r="H110" s="101"/>
      <c r="I110" s="108"/>
      <c r="J110" s="108"/>
      <c r="K110" s="108"/>
      <c r="L110" s="108"/>
      <c r="M110" s="108"/>
      <c r="N110" s="108"/>
      <c r="O110" s="122"/>
      <c r="P110" s="68"/>
      <c r="Q110" s="68"/>
      <c r="R110" s="108"/>
      <c r="AA110" s="68"/>
      <c r="AB110" s="68"/>
    </row>
    <row r="111" spans="4:28" x14ac:dyDescent="0.25">
      <c r="D111" s="13"/>
      <c r="O111" s="152"/>
      <c r="P111" s="68"/>
      <c r="Q111" s="68"/>
      <c r="AA111" s="68"/>
      <c r="AB111" s="68"/>
    </row>
    <row r="112" spans="4:28" x14ac:dyDescent="0.25">
      <c r="D112" s="13"/>
      <c r="E112" s="108"/>
      <c r="F112" s="108"/>
      <c r="H112" s="101"/>
      <c r="O112" s="152"/>
      <c r="P112" s="68"/>
      <c r="Q112" s="68"/>
      <c r="AA112" s="68"/>
      <c r="AB112" s="68"/>
    </row>
    <row r="113" spans="4:28" x14ac:dyDescent="0.25">
      <c r="D113" s="13"/>
      <c r="I113" s="154"/>
      <c r="J113" s="154"/>
      <c r="K113" s="154"/>
      <c r="L113" s="154"/>
      <c r="M113" s="154"/>
      <c r="N113" s="154"/>
      <c r="O113" s="122"/>
      <c r="P113" s="68"/>
      <c r="Q113" s="68"/>
      <c r="R113" s="154"/>
      <c r="AA113" s="68"/>
      <c r="AB113" s="68"/>
    </row>
    <row r="114" spans="4:28" x14ac:dyDescent="0.25">
      <c r="D114" s="13"/>
      <c r="E114" s="154"/>
      <c r="F114" s="154"/>
      <c r="H114" s="280"/>
      <c r="O114" s="152"/>
      <c r="P114" s="68"/>
      <c r="Q114" s="68"/>
      <c r="AA114" s="68"/>
      <c r="AB114" s="68"/>
    </row>
    <row r="115" spans="4:28" x14ac:dyDescent="0.25">
      <c r="D115" s="13"/>
      <c r="H115" s="280"/>
      <c r="O115" s="120"/>
      <c r="P115" s="68"/>
      <c r="Q115" s="68"/>
      <c r="AA115" s="68"/>
      <c r="AB115" s="68"/>
    </row>
    <row r="116" spans="4:28" x14ac:dyDescent="0.25">
      <c r="D116" s="13"/>
      <c r="H116" s="280"/>
      <c r="O116" s="120"/>
      <c r="P116" s="68"/>
      <c r="Q116" s="68"/>
      <c r="AA116" s="68"/>
      <c r="AB116" s="68"/>
    </row>
    <row r="117" spans="4:28" x14ac:dyDescent="0.25">
      <c r="D117" s="13"/>
      <c r="O117" s="152"/>
      <c r="P117" s="68"/>
      <c r="Q117" s="68"/>
      <c r="AA117" s="68"/>
      <c r="AB117" s="68"/>
    </row>
    <row r="118" spans="4:28" x14ac:dyDescent="0.25">
      <c r="D118" s="13"/>
      <c r="H118" s="280"/>
      <c r="O118" s="120"/>
      <c r="P118" s="68"/>
      <c r="Q118" s="68"/>
      <c r="AA118" s="68"/>
      <c r="AB118" s="68"/>
    </row>
    <row r="119" spans="4:28" x14ac:dyDescent="0.25">
      <c r="D119" s="13"/>
      <c r="H119" s="280"/>
      <c r="O119" s="152"/>
      <c r="P119" s="68"/>
      <c r="Q119" s="68"/>
      <c r="AA119" s="68"/>
      <c r="AB119" s="68"/>
    </row>
    <row r="120" spans="4:28" x14ac:dyDescent="0.25">
      <c r="D120" s="13"/>
      <c r="O120" s="120"/>
      <c r="P120" s="68"/>
      <c r="Q120" s="68"/>
      <c r="AA120" s="68"/>
      <c r="AB120" s="68"/>
    </row>
    <row r="121" spans="4:28" x14ac:dyDescent="0.25">
      <c r="D121" s="13"/>
      <c r="E121" s="108"/>
      <c r="F121" s="108"/>
      <c r="H121" s="101"/>
      <c r="O121" s="152"/>
      <c r="P121" s="68"/>
      <c r="Q121" s="68"/>
      <c r="AA121" s="68"/>
      <c r="AB121" s="68"/>
    </row>
    <row r="122" spans="4:28" x14ac:dyDescent="0.25">
      <c r="D122" s="13"/>
      <c r="E122" s="108"/>
      <c r="F122" s="108"/>
      <c r="H122" s="101"/>
      <c r="O122" s="152"/>
      <c r="P122" s="68"/>
      <c r="Q122" s="68"/>
      <c r="AA122" s="68"/>
      <c r="AB122" s="68"/>
    </row>
    <row r="123" spans="4:28" x14ac:dyDescent="0.25">
      <c r="D123" s="13"/>
      <c r="H123" s="280"/>
      <c r="I123" s="108"/>
      <c r="J123" s="108"/>
      <c r="K123" s="108"/>
      <c r="L123" s="108"/>
      <c r="M123" s="108"/>
      <c r="N123" s="108"/>
      <c r="O123" s="122"/>
      <c r="P123" s="68"/>
      <c r="Q123" s="68"/>
      <c r="R123" s="108"/>
      <c r="AA123" s="68"/>
      <c r="AB123" s="68"/>
    </row>
    <row r="124" spans="4:28" x14ac:dyDescent="0.25">
      <c r="D124" s="13"/>
      <c r="H124" s="280"/>
      <c r="O124" s="152"/>
      <c r="P124" s="68"/>
      <c r="Q124" s="68"/>
      <c r="AA124" s="68"/>
      <c r="AB124" s="68"/>
    </row>
    <row r="125" spans="4:28" x14ac:dyDescent="0.25">
      <c r="D125" s="13"/>
      <c r="H125" s="280"/>
      <c r="O125" s="120"/>
      <c r="P125" s="68"/>
      <c r="Q125" s="68"/>
      <c r="AA125" s="68"/>
      <c r="AB125" s="68"/>
    </row>
    <row r="126" spans="4:28" x14ac:dyDescent="0.25">
      <c r="D126" s="13"/>
      <c r="H126" s="280"/>
      <c r="O126" s="152"/>
      <c r="P126" s="68"/>
      <c r="Q126" s="68"/>
      <c r="AA126" s="68"/>
      <c r="AB126" s="68"/>
    </row>
    <row r="127" spans="4:28" x14ac:dyDescent="0.25">
      <c r="D127" s="13"/>
      <c r="H127" s="280"/>
      <c r="O127" s="152"/>
      <c r="P127" s="68"/>
      <c r="Q127" s="68"/>
      <c r="AA127" s="68"/>
      <c r="AB127" s="68"/>
    </row>
    <row r="128" spans="4:28" x14ac:dyDescent="0.25">
      <c r="D128" s="13"/>
      <c r="H128" s="280"/>
      <c r="O128" s="120"/>
      <c r="P128" s="68"/>
      <c r="Q128" s="68"/>
      <c r="AA128" s="68"/>
      <c r="AB128" s="68"/>
    </row>
    <row r="129" spans="4:28" x14ac:dyDescent="0.25">
      <c r="D129" s="13"/>
      <c r="O129" s="152"/>
      <c r="P129" s="68"/>
      <c r="Q129" s="68"/>
      <c r="AA129" s="68"/>
      <c r="AB129" s="68"/>
    </row>
    <row r="130" spans="4:28" x14ac:dyDescent="0.25">
      <c r="D130" s="13"/>
      <c r="O130" s="152"/>
      <c r="P130" s="68"/>
      <c r="Q130" s="68"/>
      <c r="AA130" s="68"/>
      <c r="AB130" s="68"/>
    </row>
    <row r="131" spans="4:28" x14ac:dyDescent="0.25">
      <c r="D131" s="13"/>
      <c r="O131" s="152"/>
      <c r="P131" s="68"/>
      <c r="Q131" s="68"/>
      <c r="AA131" s="68"/>
      <c r="AB131" s="68"/>
    </row>
    <row r="132" spans="4:28" x14ac:dyDescent="0.25">
      <c r="D132" s="13"/>
      <c r="H132" s="280"/>
      <c r="O132" s="120"/>
      <c r="P132" s="68"/>
      <c r="Q132" s="68"/>
      <c r="AA132" s="68"/>
      <c r="AB132" s="68"/>
    </row>
    <row r="133" spans="4:28" x14ac:dyDescent="0.25">
      <c r="D133" s="13"/>
      <c r="H133" s="280"/>
      <c r="O133" s="120"/>
      <c r="P133" s="68"/>
      <c r="Q133" s="68"/>
      <c r="AA133" s="68"/>
      <c r="AB133" s="68"/>
    </row>
    <row r="134" spans="4:28" x14ac:dyDescent="0.25">
      <c r="D134" s="13"/>
      <c r="O134" s="120"/>
      <c r="P134" s="68"/>
      <c r="Q134" s="68"/>
      <c r="AA134" s="68"/>
      <c r="AB134" s="68"/>
    </row>
    <row r="135" spans="4:28" x14ac:dyDescent="0.25">
      <c r="D135" s="13"/>
      <c r="H135" s="280"/>
      <c r="O135" s="152"/>
      <c r="P135" s="68"/>
      <c r="Q135" s="68"/>
      <c r="AA135" s="68"/>
      <c r="AB135" s="68"/>
    </row>
    <row r="136" spans="4:28" x14ac:dyDescent="0.25">
      <c r="D136" s="13"/>
      <c r="O136" s="152"/>
      <c r="P136" s="68"/>
      <c r="Q136" s="68"/>
      <c r="AA136" s="68"/>
      <c r="AB136" s="68"/>
    </row>
    <row r="137" spans="4:28" x14ac:dyDescent="0.25">
      <c r="D137" s="13"/>
      <c r="O137" s="120"/>
      <c r="P137" s="68"/>
      <c r="Q137" s="68"/>
      <c r="AA137" s="68"/>
      <c r="AB137" s="68"/>
    </row>
    <row r="138" spans="4:28" x14ac:dyDescent="0.25">
      <c r="D138" s="13"/>
      <c r="O138" s="152"/>
      <c r="P138" s="68"/>
      <c r="Q138" s="68"/>
      <c r="AA138" s="68"/>
      <c r="AB138" s="68"/>
    </row>
    <row r="139" spans="4:28" x14ac:dyDescent="0.25">
      <c r="D139" s="13"/>
      <c r="H139" s="280"/>
      <c r="O139" s="152"/>
      <c r="P139" s="68"/>
      <c r="Q139" s="68"/>
      <c r="AA139" s="68"/>
      <c r="AB139" s="68"/>
    </row>
    <row r="140" spans="4:28" x14ac:dyDescent="0.25">
      <c r="D140" s="13"/>
      <c r="H140" s="280"/>
      <c r="O140" s="152"/>
      <c r="P140" s="68"/>
      <c r="Q140" s="68"/>
      <c r="AA140" s="68"/>
      <c r="AB140" s="68"/>
    </row>
    <row r="141" spans="4:28" x14ac:dyDescent="0.25">
      <c r="D141" s="13"/>
      <c r="E141" s="154"/>
      <c r="F141" s="154"/>
      <c r="H141" s="280"/>
      <c r="O141" s="120"/>
      <c r="P141" s="68"/>
      <c r="Q141" s="68"/>
      <c r="AA141" s="68"/>
      <c r="AB141" s="68"/>
    </row>
    <row r="142" spans="4:28" x14ac:dyDescent="0.25">
      <c r="D142" s="13"/>
      <c r="O142" s="120"/>
      <c r="P142" s="68"/>
      <c r="Q142" s="68"/>
      <c r="AA142" s="68"/>
      <c r="AB142" s="68"/>
    </row>
    <row r="143" spans="4:28" x14ac:dyDescent="0.25">
      <c r="D143" s="13"/>
      <c r="E143" s="108"/>
      <c r="F143" s="108"/>
      <c r="O143" s="152"/>
      <c r="P143" s="68"/>
      <c r="Q143" s="68"/>
      <c r="AA143" s="68"/>
      <c r="AB143" s="68"/>
    </row>
    <row r="144" spans="4:28" x14ac:dyDescent="0.25">
      <c r="D144" s="13"/>
      <c r="E144" s="108"/>
      <c r="F144" s="108"/>
      <c r="O144" s="120"/>
      <c r="P144" s="68"/>
      <c r="Q144" s="68"/>
      <c r="AA144" s="68"/>
      <c r="AB144" s="68"/>
    </row>
    <row r="145" spans="4:28" x14ac:dyDescent="0.25">
      <c r="D145" s="13"/>
      <c r="H145" s="280"/>
      <c r="O145" s="152"/>
      <c r="P145" s="68"/>
      <c r="Q145" s="68"/>
      <c r="AA145" s="68"/>
      <c r="AB145" s="68"/>
    </row>
    <row r="146" spans="4:28" x14ac:dyDescent="0.25">
      <c r="D146" s="13"/>
      <c r="E146" s="154"/>
      <c r="F146" s="154"/>
      <c r="H146" s="280"/>
      <c r="O146" s="120"/>
      <c r="P146" s="68"/>
      <c r="Q146" s="68"/>
      <c r="AA146" s="68"/>
      <c r="AB146" s="68"/>
    </row>
    <row r="147" spans="4:28" x14ac:dyDescent="0.25">
      <c r="D147" s="13"/>
      <c r="H147" s="280"/>
      <c r="I147" s="154"/>
      <c r="J147" s="154"/>
      <c r="K147" s="154"/>
      <c r="L147" s="154"/>
      <c r="M147" s="154"/>
      <c r="N147" s="154"/>
      <c r="O147" s="122"/>
      <c r="P147" s="68"/>
      <c r="Q147" s="68"/>
      <c r="R147" s="154"/>
      <c r="AA147" s="68"/>
      <c r="AB147" s="68"/>
    </row>
    <row r="148" spans="4:28" x14ac:dyDescent="0.25">
      <c r="D148" s="13"/>
      <c r="H148" s="280"/>
      <c r="O148" s="120"/>
      <c r="P148" s="68"/>
      <c r="Q148" s="68"/>
      <c r="AA148" s="68"/>
      <c r="AB148" s="68"/>
    </row>
    <row r="149" spans="4:28" x14ac:dyDescent="0.25">
      <c r="D149" s="13"/>
      <c r="H149" s="280"/>
      <c r="O149" s="120"/>
      <c r="P149" s="68"/>
      <c r="Q149" s="68"/>
      <c r="AA149" s="68"/>
      <c r="AB149" s="68"/>
    </row>
    <row r="150" spans="4:28" x14ac:dyDescent="0.25">
      <c r="D150" s="13"/>
      <c r="E150" s="154"/>
      <c r="F150" s="154"/>
      <c r="H150" s="280"/>
      <c r="O150" s="152"/>
      <c r="P150" s="68"/>
      <c r="Q150" s="68"/>
      <c r="AA150" s="68"/>
      <c r="AB150" s="68"/>
    </row>
    <row r="151" spans="4:28" x14ac:dyDescent="0.25">
      <c r="D151" s="13"/>
      <c r="H151" s="280"/>
      <c r="I151" s="154"/>
      <c r="J151" s="154"/>
      <c r="K151" s="154"/>
      <c r="L151" s="154"/>
      <c r="M151" s="154"/>
      <c r="N151" s="154"/>
      <c r="O151" s="122"/>
      <c r="P151" s="68"/>
      <c r="Q151" s="68"/>
      <c r="R151" s="154"/>
      <c r="AA151" s="68"/>
      <c r="AB151" s="68"/>
    </row>
    <row r="152" spans="4:28" x14ac:dyDescent="0.25">
      <c r="D152" s="13"/>
      <c r="O152" s="120"/>
      <c r="P152" s="68"/>
      <c r="Q152" s="68"/>
      <c r="AA152" s="68"/>
      <c r="AB152" s="68"/>
    </row>
    <row r="153" spans="4:28" x14ac:dyDescent="0.25">
      <c r="D153" s="13"/>
      <c r="H153" s="280"/>
      <c r="O153" s="152"/>
      <c r="P153" s="68"/>
      <c r="Q153" s="68"/>
      <c r="AA153" s="68"/>
      <c r="AB153" s="68"/>
    </row>
    <row r="154" spans="4:28" x14ac:dyDescent="0.25">
      <c r="D154" s="13"/>
      <c r="O154" s="120"/>
      <c r="P154" s="68"/>
      <c r="Q154" s="68"/>
      <c r="AA154" s="68"/>
      <c r="AB154" s="68"/>
    </row>
    <row r="155" spans="4:28" x14ac:dyDescent="0.25">
      <c r="D155" s="13"/>
      <c r="H155" s="280"/>
      <c r="O155" s="120"/>
      <c r="P155" s="68"/>
      <c r="Q155" s="68"/>
      <c r="AA155" s="68"/>
      <c r="AB155" s="68"/>
    </row>
    <row r="156" spans="4:28" x14ac:dyDescent="0.25">
      <c r="D156" s="13"/>
      <c r="H156" s="280"/>
      <c r="O156" s="120"/>
      <c r="P156" s="68"/>
      <c r="Q156" s="68"/>
      <c r="AA156" s="68"/>
      <c r="AB156" s="68"/>
    </row>
    <row r="157" spans="4:28" x14ac:dyDescent="0.25">
      <c r="D157" s="13"/>
      <c r="E157" s="108"/>
      <c r="F157" s="108"/>
      <c r="H157" s="101"/>
      <c r="O157" s="120"/>
      <c r="P157" s="68"/>
      <c r="Q157" s="68"/>
      <c r="AA157" s="68"/>
      <c r="AB157" s="68"/>
    </row>
    <row r="158" spans="4:28" x14ac:dyDescent="0.25">
      <c r="D158" s="13"/>
      <c r="H158" s="280"/>
      <c r="O158" s="120"/>
      <c r="P158" s="68"/>
      <c r="Q158" s="68"/>
      <c r="AA158" s="68"/>
      <c r="AB158" s="68"/>
    </row>
    <row r="159" spans="4:28" x14ac:dyDescent="0.25">
      <c r="D159" s="13"/>
      <c r="I159" s="154"/>
      <c r="J159" s="154"/>
      <c r="K159" s="154"/>
      <c r="L159" s="154"/>
      <c r="M159" s="154"/>
      <c r="N159" s="154"/>
      <c r="O159" s="122"/>
      <c r="P159" s="68"/>
      <c r="Q159" s="68"/>
      <c r="R159" s="154"/>
      <c r="AA159" s="68"/>
      <c r="AB159" s="68"/>
    </row>
    <row r="160" spans="4:28" x14ac:dyDescent="0.25">
      <c r="D160" s="13"/>
      <c r="E160" s="108"/>
      <c r="F160" s="108"/>
      <c r="H160" s="101"/>
      <c r="O160" s="152"/>
      <c r="P160" s="68"/>
      <c r="Q160" s="68"/>
      <c r="AA160" s="68"/>
      <c r="AB160" s="68"/>
    </row>
    <row r="161" spans="4:28" x14ac:dyDescent="0.25">
      <c r="D161" s="13"/>
      <c r="O161" s="120"/>
      <c r="P161" s="68"/>
      <c r="Q161" s="68"/>
      <c r="AA161" s="68"/>
      <c r="AB161" s="68"/>
    </row>
    <row r="162" spans="4:28" x14ac:dyDescent="0.25">
      <c r="D162" s="13"/>
      <c r="E162" s="154"/>
      <c r="F162" s="154"/>
      <c r="H162" s="280"/>
      <c r="O162" s="152"/>
      <c r="P162" s="68"/>
      <c r="Q162" s="68"/>
      <c r="AA162" s="68"/>
      <c r="AB162" s="68"/>
    </row>
    <row r="163" spans="4:28" x14ac:dyDescent="0.25">
      <c r="D163" s="13"/>
      <c r="E163" s="154"/>
      <c r="F163" s="154"/>
      <c r="O163" s="152"/>
      <c r="P163" s="68"/>
      <c r="Q163" s="68"/>
      <c r="AA163" s="68"/>
      <c r="AB163" s="68"/>
    </row>
    <row r="164" spans="4:28" x14ac:dyDescent="0.25">
      <c r="D164" s="13"/>
      <c r="H164" s="280"/>
      <c r="O164" s="152"/>
      <c r="P164" s="68"/>
      <c r="Q164" s="68"/>
      <c r="AA164" s="68"/>
      <c r="AB164" s="68"/>
    </row>
    <row r="165" spans="4:28" x14ac:dyDescent="0.25">
      <c r="D165" s="13"/>
      <c r="H165" s="280"/>
      <c r="O165" s="152"/>
      <c r="P165" s="68"/>
      <c r="Q165" s="68"/>
      <c r="AA165" s="68"/>
      <c r="AB165" s="68"/>
    </row>
    <row r="166" spans="4:28" x14ac:dyDescent="0.25">
      <c r="D166" s="13"/>
      <c r="H166" s="280"/>
      <c r="O166" s="152"/>
      <c r="P166" s="68"/>
      <c r="Q166" s="68"/>
      <c r="AA166" s="68"/>
      <c r="AB166" s="68"/>
    </row>
    <row r="167" spans="4:28" x14ac:dyDescent="0.25">
      <c r="D167" s="13"/>
      <c r="H167" s="280"/>
      <c r="O167" s="120"/>
      <c r="P167" s="68"/>
      <c r="Q167" s="68"/>
      <c r="AA167" s="68"/>
      <c r="AB167" s="68"/>
    </row>
    <row r="168" spans="4:28" x14ac:dyDescent="0.25">
      <c r="D168" s="13"/>
      <c r="H168" s="280"/>
      <c r="O168" s="120"/>
      <c r="P168" s="68"/>
      <c r="Q168" s="68"/>
      <c r="AA168" s="68"/>
      <c r="AB168" s="68"/>
    </row>
    <row r="169" spans="4:28" x14ac:dyDescent="0.25">
      <c r="D169" s="13"/>
      <c r="O169" s="152"/>
      <c r="P169" s="68"/>
      <c r="Q169" s="68"/>
      <c r="AA169" s="68"/>
      <c r="AB169" s="68"/>
    </row>
    <row r="170" spans="4:28" x14ac:dyDescent="0.25">
      <c r="D170" s="13"/>
      <c r="E170" s="108"/>
      <c r="F170" s="108"/>
      <c r="H170" s="101"/>
      <c r="I170" s="154"/>
      <c r="J170" s="154"/>
      <c r="K170" s="154"/>
      <c r="L170" s="154"/>
      <c r="M170" s="154"/>
      <c r="N170" s="154"/>
      <c r="O170" s="152"/>
      <c r="P170" s="68"/>
      <c r="Q170" s="68"/>
      <c r="R170" s="154"/>
      <c r="AA170" s="68"/>
      <c r="AB170" s="68"/>
    </row>
    <row r="171" spans="4:28" x14ac:dyDescent="0.25">
      <c r="D171" s="13"/>
      <c r="H171" s="280"/>
      <c r="O171" s="120"/>
      <c r="P171" s="68"/>
      <c r="Q171" s="68"/>
      <c r="AA171" s="68"/>
      <c r="AB171" s="68"/>
    </row>
    <row r="172" spans="4:28" x14ac:dyDescent="0.25">
      <c r="D172" s="13"/>
      <c r="H172" s="280"/>
      <c r="O172" s="152"/>
      <c r="P172" s="68"/>
      <c r="Q172" s="68"/>
      <c r="AA172" s="68"/>
      <c r="AB172" s="68"/>
    </row>
    <row r="173" spans="4:28" x14ac:dyDescent="0.25">
      <c r="D173" s="13"/>
      <c r="E173" s="108"/>
      <c r="F173" s="108"/>
      <c r="H173" s="101"/>
      <c r="O173" s="120"/>
      <c r="P173" s="68"/>
      <c r="Q173" s="68"/>
      <c r="AA173" s="68"/>
      <c r="AB173" s="68"/>
    </row>
    <row r="174" spans="4:28" x14ac:dyDescent="0.25">
      <c r="D174" s="13"/>
      <c r="O174" s="152"/>
      <c r="P174" s="68"/>
      <c r="Q174" s="68"/>
      <c r="AA174" s="68"/>
      <c r="AB174" s="68"/>
    </row>
    <row r="175" spans="4:28" x14ac:dyDescent="0.25">
      <c r="D175" s="13"/>
      <c r="H175" s="280"/>
      <c r="O175" s="152"/>
      <c r="P175" s="68"/>
      <c r="Q175" s="68"/>
      <c r="AA175" s="68"/>
      <c r="AB175" s="68"/>
    </row>
    <row r="176" spans="4:28" x14ac:dyDescent="0.25">
      <c r="D176" s="13"/>
      <c r="O176" s="152"/>
      <c r="P176" s="68"/>
      <c r="Q176" s="68"/>
      <c r="AA176" s="68"/>
      <c r="AB176" s="68"/>
    </row>
    <row r="177" spans="4:28" x14ac:dyDescent="0.25">
      <c r="D177" s="13"/>
      <c r="O177" s="120"/>
      <c r="P177" s="68"/>
      <c r="Q177" s="68"/>
      <c r="AA177" s="68"/>
      <c r="AB177" s="68"/>
    </row>
    <row r="178" spans="4:28" x14ac:dyDescent="0.25">
      <c r="D178" s="13"/>
      <c r="H178" s="280"/>
      <c r="O178" s="152"/>
      <c r="P178" s="68"/>
      <c r="Q178" s="68"/>
      <c r="AA178" s="68"/>
      <c r="AB178" s="68"/>
    </row>
    <row r="179" spans="4:28" x14ac:dyDescent="0.25">
      <c r="D179" s="13"/>
      <c r="O179" s="152"/>
      <c r="P179" s="68"/>
      <c r="Q179" s="68"/>
      <c r="AA179" s="68"/>
      <c r="AB179" s="68"/>
    </row>
    <row r="180" spans="4:28" x14ac:dyDescent="0.25">
      <c r="D180" s="13"/>
      <c r="E180" s="154"/>
      <c r="F180" s="154"/>
      <c r="H180" s="280"/>
      <c r="I180" s="108"/>
      <c r="J180" s="108"/>
      <c r="K180" s="108"/>
      <c r="L180" s="108"/>
      <c r="M180" s="108"/>
      <c r="N180" s="108"/>
      <c r="O180" s="122"/>
      <c r="P180" s="68"/>
      <c r="Q180" s="68"/>
      <c r="R180" s="108"/>
      <c r="AA180" s="68"/>
      <c r="AB180" s="68"/>
    </row>
    <row r="181" spans="4:28" x14ac:dyDescent="0.25">
      <c r="D181" s="13"/>
      <c r="O181" s="152"/>
      <c r="P181" s="68"/>
      <c r="Q181" s="68"/>
      <c r="AA181" s="68"/>
      <c r="AB181" s="68"/>
    </row>
    <row r="182" spans="4:28" x14ac:dyDescent="0.25">
      <c r="D182" s="13"/>
      <c r="H182" s="280"/>
      <c r="O182" s="152"/>
      <c r="P182" s="68"/>
      <c r="Q182" s="68"/>
      <c r="AA182" s="68"/>
      <c r="AB182" s="68"/>
    </row>
    <row r="183" spans="4:28" x14ac:dyDescent="0.25">
      <c r="D183" s="13"/>
      <c r="H183" s="280"/>
      <c r="I183" s="108"/>
      <c r="J183" s="108"/>
      <c r="K183" s="108"/>
      <c r="L183" s="108"/>
      <c r="M183" s="108"/>
      <c r="N183" s="108"/>
      <c r="O183" s="122"/>
      <c r="P183" s="68"/>
      <c r="Q183" s="68"/>
      <c r="R183" s="108"/>
      <c r="AA183" s="68"/>
      <c r="AB183" s="68"/>
    </row>
    <row r="184" spans="4:28" x14ac:dyDescent="0.25">
      <c r="D184" s="13"/>
      <c r="H184" s="280"/>
      <c r="O184" s="120"/>
      <c r="P184" s="68"/>
      <c r="Q184" s="68"/>
      <c r="AA184" s="68"/>
      <c r="AB184" s="68"/>
    </row>
    <row r="185" spans="4:28" x14ac:dyDescent="0.25">
      <c r="D185" s="13"/>
      <c r="H185" s="280"/>
      <c r="O185" s="152"/>
      <c r="P185" s="68"/>
      <c r="Q185" s="68"/>
      <c r="AA185" s="68"/>
      <c r="AB185" s="68"/>
    </row>
    <row r="186" spans="4:28" x14ac:dyDescent="0.25">
      <c r="D186" s="13"/>
      <c r="O186" s="152"/>
      <c r="P186" s="68"/>
      <c r="Q186" s="68"/>
      <c r="AA186" s="68"/>
      <c r="AB186" s="68"/>
    </row>
    <row r="187" spans="4:28" x14ac:dyDescent="0.25">
      <c r="D187" s="13"/>
      <c r="E187" s="108"/>
      <c r="F187" s="108"/>
      <c r="H187" s="101"/>
      <c r="O187" s="120"/>
      <c r="P187" s="68"/>
      <c r="Q187" s="68"/>
      <c r="AA187" s="68"/>
      <c r="AB187" s="68"/>
    </row>
    <row r="188" spans="4:28" x14ac:dyDescent="0.25">
      <c r="D188" s="13"/>
      <c r="H188" s="280"/>
      <c r="O188" s="120"/>
      <c r="P188" s="68"/>
      <c r="Q188" s="68"/>
      <c r="AA188" s="68"/>
      <c r="AB188" s="68"/>
    </row>
    <row r="189" spans="4:28" x14ac:dyDescent="0.25">
      <c r="D189" s="13"/>
      <c r="H189" s="280"/>
      <c r="I189" s="154"/>
      <c r="J189" s="154"/>
      <c r="K189" s="154"/>
      <c r="L189" s="154"/>
      <c r="M189" s="154"/>
      <c r="N189" s="154"/>
      <c r="O189" s="122"/>
      <c r="P189" s="68"/>
      <c r="Q189" s="68"/>
      <c r="R189" s="154"/>
      <c r="AA189" s="68"/>
      <c r="AB189" s="68"/>
    </row>
    <row r="190" spans="4:28" x14ac:dyDescent="0.25">
      <c r="D190" s="13"/>
      <c r="E190" s="154"/>
      <c r="F190" s="154"/>
      <c r="H190" s="280"/>
      <c r="O190" s="152"/>
      <c r="P190" s="68"/>
      <c r="Q190" s="68"/>
      <c r="AA190" s="68"/>
      <c r="AB190" s="68"/>
    </row>
    <row r="191" spans="4:28" x14ac:dyDescent="0.25">
      <c r="D191" s="13"/>
      <c r="H191" s="280"/>
      <c r="O191" s="152"/>
      <c r="P191" s="68"/>
      <c r="Q191" s="68"/>
      <c r="AA191" s="68"/>
      <c r="AB191" s="68"/>
    </row>
    <row r="192" spans="4:28" x14ac:dyDescent="0.25">
      <c r="D192" s="13"/>
      <c r="H192" s="280"/>
      <c r="O192" s="152"/>
      <c r="P192" s="68"/>
      <c r="Q192" s="68"/>
      <c r="AA192" s="68"/>
      <c r="AB192" s="68"/>
    </row>
    <row r="193" spans="4:28" x14ac:dyDescent="0.25">
      <c r="D193" s="13"/>
      <c r="E193" s="154"/>
      <c r="F193" s="154"/>
      <c r="H193" s="280"/>
      <c r="O193" s="152"/>
      <c r="P193" s="68"/>
      <c r="Q193" s="68"/>
      <c r="AA193" s="68"/>
      <c r="AB193" s="68"/>
    </row>
    <row r="194" spans="4:28" x14ac:dyDescent="0.25">
      <c r="D194" s="13"/>
      <c r="H194" s="280"/>
      <c r="O194" s="120"/>
      <c r="P194" s="68"/>
      <c r="Q194" s="68"/>
      <c r="AA194" s="68"/>
      <c r="AB194" s="68"/>
    </row>
    <row r="195" spans="4:28" x14ac:dyDescent="0.25">
      <c r="D195" s="13"/>
      <c r="H195" s="280"/>
      <c r="O195" s="152"/>
      <c r="P195" s="68"/>
      <c r="Q195" s="68"/>
      <c r="AA195" s="68"/>
      <c r="AB195" s="68"/>
    </row>
    <row r="196" spans="4:28" x14ac:dyDescent="0.25">
      <c r="D196" s="13"/>
      <c r="H196" s="280"/>
      <c r="O196" s="120"/>
      <c r="P196" s="68"/>
      <c r="Q196" s="68"/>
      <c r="AA196" s="68"/>
      <c r="AB196" s="68"/>
    </row>
    <row r="197" spans="4:28" x14ac:dyDescent="0.25">
      <c r="D197" s="13"/>
      <c r="I197" s="154"/>
      <c r="J197" s="154"/>
      <c r="K197" s="154"/>
      <c r="L197" s="154"/>
      <c r="M197" s="154"/>
      <c r="N197" s="154"/>
      <c r="O197" s="152"/>
      <c r="P197" s="68"/>
      <c r="Q197" s="68"/>
      <c r="R197" s="154"/>
      <c r="AA197" s="68"/>
      <c r="AB197" s="68"/>
    </row>
    <row r="198" spans="4:28" x14ac:dyDescent="0.25">
      <c r="D198" s="13"/>
      <c r="H198" s="280"/>
      <c r="O198" s="152"/>
      <c r="P198" s="68"/>
      <c r="Q198" s="68"/>
      <c r="AA198" s="68"/>
      <c r="AB198" s="68"/>
    </row>
    <row r="199" spans="4:28" x14ac:dyDescent="0.25">
      <c r="D199" s="13"/>
      <c r="O199" s="120"/>
      <c r="P199" s="68"/>
      <c r="Q199" s="68"/>
      <c r="AA199" s="68"/>
      <c r="AB199" s="68"/>
    </row>
    <row r="200" spans="4:28" x14ac:dyDescent="0.25">
      <c r="D200" s="13"/>
      <c r="H200" s="280"/>
      <c r="O200" s="120"/>
      <c r="P200" s="68"/>
      <c r="Q200" s="68"/>
      <c r="AA200" s="68"/>
      <c r="AB200" s="68"/>
    </row>
    <row r="201" spans="4:28" x14ac:dyDescent="0.25">
      <c r="D201" s="13"/>
      <c r="E201" s="154"/>
      <c r="F201" s="154"/>
      <c r="H201" s="280"/>
      <c r="I201" s="154"/>
      <c r="J201" s="154"/>
      <c r="K201" s="154"/>
      <c r="L201" s="154"/>
      <c r="M201" s="154"/>
      <c r="N201" s="154"/>
      <c r="O201" s="122"/>
      <c r="P201" s="68"/>
      <c r="Q201" s="68"/>
      <c r="R201" s="154"/>
      <c r="AA201" s="68"/>
      <c r="AB201" s="68"/>
    </row>
    <row r="202" spans="4:28" x14ac:dyDescent="0.25">
      <c r="D202" s="13"/>
      <c r="O202" s="152"/>
      <c r="P202" s="68"/>
      <c r="Q202" s="68"/>
      <c r="AA202" s="68"/>
      <c r="AB202" s="68"/>
    </row>
    <row r="203" spans="4:28" x14ac:dyDescent="0.25">
      <c r="D203" s="13"/>
      <c r="E203" s="108"/>
      <c r="F203" s="108"/>
      <c r="H203" s="101"/>
      <c r="O203" s="152"/>
      <c r="P203" s="68"/>
      <c r="Q203" s="68"/>
      <c r="AA203" s="68"/>
      <c r="AB203" s="68"/>
    </row>
    <row r="204" spans="4:28" x14ac:dyDescent="0.25">
      <c r="D204" s="13"/>
      <c r="E204" s="154"/>
      <c r="F204" s="154"/>
      <c r="H204" s="280"/>
      <c r="O204" s="152"/>
      <c r="P204" s="68"/>
      <c r="Q204" s="68"/>
      <c r="AA204" s="68"/>
      <c r="AB204" s="68"/>
    </row>
    <row r="205" spans="4:28" x14ac:dyDescent="0.25">
      <c r="D205" s="13"/>
      <c r="H205" s="280"/>
      <c r="O205" s="152"/>
      <c r="P205" s="68"/>
      <c r="Q205" s="68"/>
      <c r="AA205" s="68"/>
      <c r="AB205" s="68"/>
    </row>
    <row r="206" spans="4:28" x14ac:dyDescent="0.25">
      <c r="D206" s="13"/>
      <c r="O206" s="152"/>
      <c r="P206" s="68"/>
      <c r="Q206" s="68"/>
      <c r="AA206" s="68"/>
      <c r="AB206" s="68"/>
    </row>
    <row r="207" spans="4:28" x14ac:dyDescent="0.25">
      <c r="D207" s="13"/>
      <c r="O207" s="120"/>
      <c r="P207" s="68"/>
      <c r="Q207" s="68"/>
      <c r="AA207" s="68"/>
      <c r="AB207" s="68"/>
    </row>
    <row r="208" spans="4:28" x14ac:dyDescent="0.25">
      <c r="D208" s="13"/>
      <c r="I208" s="154"/>
      <c r="J208" s="154"/>
      <c r="K208" s="154"/>
      <c r="L208" s="154"/>
      <c r="M208" s="154"/>
      <c r="N208" s="154"/>
      <c r="O208" s="122"/>
      <c r="P208" s="68"/>
      <c r="Q208" s="68"/>
      <c r="R208" s="154"/>
      <c r="AA208" s="68"/>
      <c r="AB208" s="68"/>
    </row>
    <row r="209" spans="4:28" x14ac:dyDescent="0.25">
      <c r="D209" s="13"/>
      <c r="H209" s="280"/>
      <c r="O209" s="152"/>
      <c r="P209" s="68"/>
      <c r="Q209" s="68"/>
      <c r="AA209" s="68"/>
      <c r="AB209" s="68"/>
    </row>
    <row r="210" spans="4:28" x14ac:dyDescent="0.25">
      <c r="D210" s="13"/>
      <c r="E210" s="154"/>
      <c r="F210" s="154"/>
      <c r="H210" s="280"/>
      <c r="O210" s="152"/>
      <c r="P210" s="68"/>
      <c r="Q210" s="68"/>
      <c r="AA210" s="68"/>
      <c r="AB210" s="68"/>
    </row>
    <row r="211" spans="4:28" x14ac:dyDescent="0.25">
      <c r="D211" s="13"/>
      <c r="H211" s="280"/>
      <c r="I211" s="154"/>
      <c r="J211" s="154"/>
      <c r="K211" s="154"/>
      <c r="L211" s="154"/>
      <c r="M211" s="154"/>
      <c r="N211" s="154"/>
      <c r="O211" s="122"/>
      <c r="P211" s="68"/>
      <c r="Q211" s="68"/>
      <c r="R211" s="154"/>
      <c r="AA211" s="68"/>
      <c r="AB211" s="68"/>
    </row>
    <row r="212" spans="4:28" x14ac:dyDescent="0.25">
      <c r="D212" s="13"/>
      <c r="O212" s="152"/>
      <c r="P212" s="68"/>
      <c r="Q212" s="68"/>
      <c r="AA212" s="68"/>
      <c r="AB212" s="68"/>
    </row>
    <row r="213" spans="4:28" x14ac:dyDescent="0.25">
      <c r="D213" s="13"/>
      <c r="H213" s="280"/>
      <c r="I213" s="108"/>
      <c r="J213" s="108"/>
      <c r="K213" s="108"/>
      <c r="L213" s="108"/>
      <c r="M213" s="108"/>
      <c r="N213" s="108"/>
      <c r="O213" s="122"/>
      <c r="P213" s="68"/>
      <c r="Q213" s="68"/>
      <c r="R213" s="108"/>
      <c r="AA213" s="68"/>
      <c r="AB213" s="68"/>
    </row>
    <row r="214" spans="4:28" x14ac:dyDescent="0.25">
      <c r="D214" s="13"/>
      <c r="H214" s="280"/>
      <c r="O214" s="120"/>
      <c r="P214" s="68"/>
      <c r="Q214" s="68"/>
      <c r="AA214" s="68"/>
      <c r="AB214" s="68"/>
    </row>
    <row r="215" spans="4:28" x14ac:dyDescent="0.25">
      <c r="D215" s="13"/>
      <c r="H215" s="280"/>
      <c r="I215" s="154"/>
      <c r="J215" s="154"/>
      <c r="K215" s="154"/>
      <c r="L215" s="154"/>
      <c r="M215" s="154"/>
      <c r="N215" s="154"/>
      <c r="O215" s="122"/>
      <c r="P215" s="68"/>
      <c r="Q215" s="68"/>
      <c r="R215" s="154"/>
      <c r="AA215" s="68"/>
      <c r="AB215" s="68"/>
    </row>
    <row r="216" spans="4:28" x14ac:dyDescent="0.25">
      <c r="D216" s="13"/>
      <c r="O216" s="120"/>
      <c r="P216" s="68"/>
      <c r="Q216" s="68"/>
      <c r="AA216" s="68"/>
      <c r="AB216" s="68"/>
    </row>
    <row r="217" spans="4:28" x14ac:dyDescent="0.25">
      <c r="D217" s="13"/>
      <c r="E217" s="108"/>
      <c r="F217" s="108"/>
      <c r="H217" s="101"/>
      <c r="O217" s="152"/>
      <c r="P217" s="68"/>
      <c r="Q217" s="68"/>
      <c r="AA217" s="68"/>
      <c r="AB217" s="68"/>
    </row>
    <row r="218" spans="4:28" x14ac:dyDescent="0.25">
      <c r="D218" s="13"/>
      <c r="E218" s="154"/>
      <c r="F218" s="154"/>
      <c r="H218" s="280"/>
      <c r="O218" s="120"/>
      <c r="P218" s="68"/>
      <c r="Q218" s="68"/>
      <c r="AA218" s="68"/>
      <c r="AB218" s="68"/>
    </row>
    <row r="219" spans="4:28" x14ac:dyDescent="0.25">
      <c r="D219" s="13"/>
      <c r="H219" s="280"/>
      <c r="I219" s="154"/>
      <c r="J219" s="154"/>
      <c r="K219" s="154"/>
      <c r="L219" s="154"/>
      <c r="M219" s="154"/>
      <c r="N219" s="154"/>
      <c r="O219" s="122"/>
      <c r="P219" s="68"/>
      <c r="Q219" s="68"/>
      <c r="R219" s="154"/>
      <c r="AA219" s="68"/>
      <c r="AB219" s="68"/>
    </row>
    <row r="220" spans="4:28" x14ac:dyDescent="0.25">
      <c r="D220" s="13"/>
      <c r="O220" s="152"/>
      <c r="P220" s="68"/>
      <c r="Q220" s="68"/>
      <c r="AA220" s="68"/>
      <c r="AB220" s="68"/>
    </row>
    <row r="221" spans="4:28" x14ac:dyDescent="0.25">
      <c r="D221" s="13"/>
      <c r="H221" s="280"/>
      <c r="O221" s="152"/>
      <c r="P221" s="68"/>
      <c r="Q221" s="68"/>
      <c r="AA221" s="68"/>
      <c r="AB221" s="68"/>
    </row>
    <row r="222" spans="4:28" x14ac:dyDescent="0.25">
      <c r="D222" s="13"/>
      <c r="H222" s="280"/>
      <c r="O222" s="120"/>
      <c r="P222" s="68"/>
      <c r="Q222" s="68"/>
      <c r="AA222" s="68"/>
      <c r="AB222" s="68"/>
    </row>
    <row r="223" spans="4:28" x14ac:dyDescent="0.25">
      <c r="D223" s="13"/>
      <c r="H223" s="280"/>
      <c r="O223" s="120"/>
      <c r="P223" s="68"/>
      <c r="Q223" s="68"/>
      <c r="AA223" s="68"/>
      <c r="AB223" s="68"/>
    </row>
    <row r="224" spans="4:28" x14ac:dyDescent="0.25">
      <c r="D224" s="13"/>
      <c r="H224" s="280"/>
      <c r="O224" s="120"/>
      <c r="P224" s="68"/>
      <c r="Q224" s="68"/>
      <c r="AA224" s="68"/>
      <c r="AB224" s="68"/>
    </row>
    <row r="225" spans="4:28" x14ac:dyDescent="0.25">
      <c r="D225" s="13"/>
      <c r="G225" s="120">
        <f>3</f>
        <v>3</v>
      </c>
      <c r="H225" s="280"/>
      <c r="O225" s="152"/>
      <c r="P225" s="68"/>
      <c r="Q225" s="68"/>
      <c r="AA225" s="68"/>
      <c r="AB225" s="68"/>
    </row>
    <row r="226" spans="4:28" x14ac:dyDescent="0.25">
      <c r="D226" s="13"/>
      <c r="H226" s="280"/>
      <c r="O226" s="120"/>
      <c r="P226" s="68"/>
      <c r="Q226" s="68"/>
      <c r="AA226" s="68"/>
      <c r="AB226" s="68"/>
    </row>
    <row r="227" spans="4:28" x14ac:dyDescent="0.25">
      <c r="D227" s="13"/>
      <c r="H227" s="280"/>
      <c r="I227" s="154"/>
      <c r="J227" s="154"/>
      <c r="K227" s="154"/>
      <c r="L227" s="154"/>
      <c r="M227" s="154"/>
      <c r="N227" s="154"/>
      <c r="O227" s="122"/>
      <c r="P227" s="68"/>
      <c r="Q227" s="68"/>
      <c r="R227" s="154"/>
      <c r="AA227" s="68"/>
      <c r="AB227" s="68"/>
    </row>
    <row r="228" spans="4:28" x14ac:dyDescent="0.25">
      <c r="D228" s="13"/>
      <c r="H228" s="280"/>
      <c r="I228" s="108"/>
      <c r="J228" s="108"/>
      <c r="K228" s="108"/>
      <c r="L228" s="108"/>
      <c r="M228" s="108"/>
      <c r="N228" s="108"/>
      <c r="O228" s="122"/>
      <c r="P228" s="68"/>
      <c r="Q228" s="68"/>
      <c r="R228" s="108"/>
      <c r="AA228" s="68"/>
      <c r="AB228" s="68"/>
    </row>
    <row r="229" spans="4:28" x14ac:dyDescent="0.25">
      <c r="D229" s="13"/>
      <c r="H229" s="280"/>
      <c r="O229" s="152"/>
      <c r="P229" s="68"/>
      <c r="Q229" s="68"/>
      <c r="AA229" s="68"/>
      <c r="AB229" s="68"/>
    </row>
    <row r="230" spans="4:28" x14ac:dyDescent="0.25">
      <c r="D230" s="13"/>
      <c r="H230" s="280"/>
      <c r="I230" s="154"/>
      <c r="J230" s="154"/>
      <c r="K230" s="154"/>
      <c r="L230" s="154"/>
      <c r="M230" s="154"/>
      <c r="N230" s="154"/>
      <c r="O230" s="122"/>
      <c r="P230" s="68"/>
      <c r="Q230" s="68"/>
      <c r="R230" s="154"/>
      <c r="AA230" s="68"/>
      <c r="AB230" s="68"/>
    </row>
    <row r="231" spans="4:28" x14ac:dyDescent="0.25">
      <c r="D231" s="13"/>
      <c r="H231" s="280"/>
      <c r="O231" s="120"/>
      <c r="P231" s="68"/>
      <c r="Q231" s="68"/>
      <c r="AA231" s="68"/>
      <c r="AB231" s="68"/>
    </row>
    <row r="232" spans="4:28" x14ac:dyDescent="0.25">
      <c r="D232" s="13"/>
      <c r="H232" s="280"/>
      <c r="O232" s="120"/>
      <c r="P232" s="68"/>
      <c r="Q232" s="68"/>
      <c r="AA232" s="68"/>
      <c r="AB232" s="68"/>
    </row>
    <row r="233" spans="4:28" x14ac:dyDescent="0.25">
      <c r="D233" s="13"/>
      <c r="H233" s="280"/>
      <c r="O233" s="152"/>
      <c r="P233" s="68"/>
      <c r="Q233" s="68"/>
      <c r="AA233" s="68"/>
      <c r="AB233" s="68"/>
    </row>
    <row r="234" spans="4:28" x14ac:dyDescent="0.25">
      <c r="D234" s="13"/>
      <c r="O234" s="120"/>
      <c r="P234" s="68"/>
      <c r="Q234" s="68"/>
      <c r="AA234" s="68"/>
      <c r="AB234" s="68"/>
    </row>
    <row r="235" spans="4:28" x14ac:dyDescent="0.25">
      <c r="D235" s="13"/>
      <c r="O235" s="152"/>
      <c r="P235" s="68"/>
      <c r="Q235" s="68"/>
      <c r="AA235" s="68"/>
      <c r="AB235" s="68"/>
    </row>
    <row r="236" spans="4:28" x14ac:dyDescent="0.25">
      <c r="D236" s="13"/>
      <c r="P236" s="68"/>
      <c r="Q236" s="68"/>
      <c r="AA236" s="68"/>
      <c r="AB236" s="68"/>
    </row>
    <row r="237" spans="4:28" x14ac:dyDescent="0.25">
      <c r="D237" s="13"/>
      <c r="O237" s="152"/>
      <c r="P237" s="68"/>
      <c r="Q237" s="68"/>
      <c r="AA237" s="68"/>
      <c r="AB237" s="68"/>
    </row>
    <row r="238" spans="4:28" x14ac:dyDescent="0.25">
      <c r="D238" s="13"/>
      <c r="O238" s="152"/>
      <c r="P238" s="68"/>
      <c r="Q238" s="68"/>
      <c r="AA238" s="68"/>
      <c r="AB238" s="68"/>
    </row>
    <row r="239" spans="4:28" x14ac:dyDescent="0.25">
      <c r="D239" s="13"/>
      <c r="O239" s="152"/>
      <c r="P239" s="68"/>
      <c r="Q239" s="68"/>
      <c r="AA239" s="68"/>
      <c r="AB239" s="68"/>
    </row>
    <row r="240" spans="4:28" x14ac:dyDescent="0.25">
      <c r="D240" s="13"/>
      <c r="O240" s="152"/>
      <c r="P240" s="68"/>
      <c r="Q240" s="68"/>
      <c r="AA240" s="68"/>
      <c r="AB240" s="68"/>
    </row>
    <row r="241" spans="4:28" x14ac:dyDescent="0.25">
      <c r="D241" s="13"/>
      <c r="O241" s="152"/>
      <c r="P241" s="68"/>
      <c r="Q241" s="68"/>
      <c r="AA241" s="68"/>
      <c r="AB241" s="68"/>
    </row>
    <row r="242" spans="4:28" x14ac:dyDescent="0.25">
      <c r="D242" s="13"/>
      <c r="O242" s="152"/>
      <c r="P242" s="68"/>
      <c r="Q242" s="68"/>
      <c r="AA242" s="68"/>
      <c r="AB242" s="68"/>
    </row>
    <row r="243" spans="4:28" x14ac:dyDescent="0.25">
      <c r="D243" s="13"/>
      <c r="O243" s="152"/>
      <c r="P243" s="68"/>
      <c r="Q243" s="68"/>
      <c r="AA243" s="68"/>
      <c r="AB243" s="68"/>
    </row>
    <row r="244" spans="4:28" x14ac:dyDescent="0.25">
      <c r="D244" s="13"/>
      <c r="O244" s="152"/>
      <c r="P244" s="68"/>
      <c r="Q244" s="68"/>
      <c r="AA244" s="68"/>
      <c r="AB244" s="68"/>
    </row>
    <row r="245" spans="4:28" x14ac:dyDescent="0.25">
      <c r="D245" s="13"/>
      <c r="O245" s="152"/>
      <c r="P245" s="68"/>
      <c r="Q245" s="68"/>
      <c r="AA245" s="68"/>
      <c r="AB245" s="68"/>
    </row>
    <row r="246" spans="4:28" x14ac:dyDescent="0.25">
      <c r="D246" s="13"/>
      <c r="O246" s="152"/>
      <c r="P246" s="68"/>
      <c r="Q246" s="68"/>
      <c r="AA246" s="68"/>
      <c r="AB246" s="68"/>
    </row>
    <row r="247" spans="4:28" x14ac:dyDescent="0.25">
      <c r="D247" s="13"/>
      <c r="O247" s="152"/>
      <c r="P247" s="68"/>
      <c r="Q247" s="68"/>
      <c r="AA247" s="68"/>
      <c r="AB247" s="68"/>
    </row>
    <row r="248" spans="4:28" x14ac:dyDescent="0.25">
      <c r="D248" s="13"/>
      <c r="O248" s="152"/>
      <c r="P248" s="68"/>
      <c r="Q248" s="68"/>
      <c r="AA248" s="68"/>
      <c r="AB248" s="68"/>
    </row>
    <row r="249" spans="4:28" x14ac:dyDescent="0.25">
      <c r="D249" s="13"/>
      <c r="O249" s="152"/>
      <c r="P249" s="68"/>
      <c r="Q249" s="68"/>
      <c r="AA249" s="68"/>
      <c r="AB249" s="68"/>
    </row>
    <row r="250" spans="4:28" x14ac:dyDescent="0.25">
      <c r="D250" s="13"/>
      <c r="E250" s="154"/>
      <c r="F250" s="154"/>
      <c r="O250" s="152"/>
      <c r="P250" s="68"/>
      <c r="Q250" s="68"/>
      <c r="AA250" s="68"/>
      <c r="AB250" s="68"/>
    </row>
    <row r="251" spans="4:28" x14ac:dyDescent="0.25">
      <c r="D251" s="13"/>
      <c r="E251" s="154"/>
      <c r="F251" s="154"/>
      <c r="O251" s="152"/>
      <c r="P251" s="68"/>
      <c r="Q251" s="68"/>
      <c r="AA251" s="68"/>
      <c r="AB251" s="68"/>
    </row>
    <row r="252" spans="4:28" x14ac:dyDescent="0.25">
      <c r="D252" s="13"/>
      <c r="E252" s="154"/>
      <c r="F252" s="154"/>
      <c r="O252" s="152"/>
      <c r="P252" s="68"/>
      <c r="Q252" s="68"/>
      <c r="AA252" s="68"/>
      <c r="AB252" s="68"/>
    </row>
    <row r="253" spans="4:28" x14ac:dyDescent="0.25">
      <c r="D253" s="13"/>
      <c r="O253" s="152"/>
      <c r="P253" s="68"/>
      <c r="Q253" s="68"/>
      <c r="AA253" s="68"/>
      <c r="AB253" s="68"/>
    </row>
    <row r="254" spans="4:28" x14ac:dyDescent="0.25">
      <c r="D254" s="13"/>
      <c r="O254" s="152"/>
      <c r="P254" s="68"/>
      <c r="Q254" s="68"/>
      <c r="AA254" s="68"/>
      <c r="AB254" s="68"/>
    </row>
    <row r="255" spans="4:28" x14ac:dyDescent="0.25">
      <c r="D255" s="13"/>
      <c r="O255" s="120"/>
      <c r="P255" s="68"/>
      <c r="Q255" s="68"/>
      <c r="AA255" s="68"/>
      <c r="AB255" s="68"/>
    </row>
    <row r="256" spans="4:28" x14ac:dyDescent="0.25">
      <c r="D256" s="13"/>
      <c r="I256" s="154"/>
      <c r="J256" s="154"/>
      <c r="K256" s="154"/>
      <c r="L256" s="154"/>
      <c r="M256" s="154"/>
      <c r="N256" s="154"/>
      <c r="O256" s="152"/>
      <c r="P256" s="68"/>
      <c r="Q256" s="68"/>
      <c r="R256" s="154"/>
      <c r="AA256" s="68"/>
      <c r="AB256" s="68"/>
    </row>
    <row r="257" spans="4:28" x14ac:dyDescent="0.25">
      <c r="D257" s="13"/>
      <c r="I257" s="154"/>
      <c r="J257" s="154"/>
      <c r="K257" s="154"/>
      <c r="L257" s="154"/>
      <c r="M257" s="154"/>
      <c r="N257" s="154"/>
      <c r="O257" s="152"/>
      <c r="P257" s="68"/>
      <c r="Q257" s="68"/>
      <c r="R257" s="154"/>
      <c r="AA257" s="68"/>
      <c r="AB257" s="68"/>
    </row>
    <row r="258" spans="4:28" x14ac:dyDescent="0.25">
      <c r="D258" s="13"/>
      <c r="E258" s="154"/>
      <c r="F258" s="154"/>
      <c r="I258" s="154"/>
      <c r="J258" s="154"/>
      <c r="K258" s="154"/>
      <c r="L258" s="154"/>
      <c r="M258" s="154"/>
      <c r="N258" s="154"/>
      <c r="O258" s="152"/>
      <c r="P258" s="68"/>
      <c r="Q258" s="68"/>
      <c r="R258" s="154"/>
      <c r="AA258" s="68"/>
      <c r="AB258" s="68"/>
    </row>
    <row r="259" spans="4:28" x14ac:dyDescent="0.25">
      <c r="D259" s="13"/>
      <c r="I259" s="154"/>
      <c r="J259" s="154"/>
      <c r="K259" s="154"/>
      <c r="L259" s="154"/>
      <c r="M259" s="154"/>
      <c r="N259" s="154"/>
      <c r="O259" s="152"/>
      <c r="P259" s="68"/>
      <c r="Q259" s="68"/>
      <c r="R259" s="154"/>
      <c r="AA259" s="68"/>
      <c r="AB259" s="68"/>
    </row>
    <row r="260" spans="4:28" x14ac:dyDescent="0.25">
      <c r="D260" s="13"/>
      <c r="I260" s="154"/>
      <c r="J260" s="154"/>
      <c r="K260" s="154"/>
      <c r="L260" s="154"/>
      <c r="M260" s="154"/>
      <c r="N260" s="154"/>
      <c r="O260" s="152"/>
      <c r="P260" s="68"/>
      <c r="Q260" s="68"/>
      <c r="R260" s="154"/>
      <c r="AA260" s="68"/>
      <c r="AB260" s="68"/>
    </row>
    <row r="261" spans="4:28" x14ac:dyDescent="0.25">
      <c r="D261" s="13"/>
      <c r="I261" s="154"/>
      <c r="J261" s="154"/>
      <c r="K261" s="154"/>
      <c r="L261" s="154"/>
      <c r="M261" s="154"/>
      <c r="N261" s="154"/>
      <c r="O261" s="152"/>
      <c r="P261" s="68"/>
      <c r="Q261" s="68"/>
      <c r="R261" s="154"/>
      <c r="AA261" s="68"/>
      <c r="AB261" s="68"/>
    </row>
    <row r="262" spans="4:28" x14ac:dyDescent="0.25">
      <c r="D262" s="13"/>
      <c r="I262" s="154"/>
      <c r="J262" s="154"/>
      <c r="K262" s="154"/>
      <c r="L262" s="154"/>
      <c r="M262" s="154"/>
      <c r="N262" s="154"/>
      <c r="O262" s="152"/>
      <c r="P262" s="68"/>
      <c r="Q262" s="68"/>
      <c r="R262" s="154"/>
      <c r="AA262" s="68"/>
      <c r="AB262" s="68"/>
    </row>
    <row r="263" spans="4:28" x14ac:dyDescent="0.25">
      <c r="D263" s="13"/>
      <c r="I263" s="154"/>
      <c r="J263" s="154"/>
      <c r="K263" s="154"/>
      <c r="L263" s="154"/>
      <c r="M263" s="154"/>
      <c r="N263" s="154"/>
      <c r="O263" s="152"/>
      <c r="P263" s="68"/>
      <c r="Q263" s="68"/>
      <c r="R263" s="154"/>
      <c r="AA263" s="68"/>
      <c r="AB263" s="68"/>
    </row>
    <row r="264" spans="4:28" x14ac:dyDescent="0.25">
      <c r="D264" s="13"/>
      <c r="I264" s="154"/>
      <c r="J264" s="154"/>
      <c r="K264" s="154"/>
      <c r="L264" s="154"/>
      <c r="M264" s="154"/>
      <c r="N264" s="154"/>
      <c r="O264" s="152"/>
      <c r="P264" s="68"/>
      <c r="Q264" s="68"/>
      <c r="R264" s="154"/>
      <c r="AA264" s="68"/>
      <c r="AB264" s="68"/>
    </row>
    <row r="265" spans="4:28" x14ac:dyDescent="0.25">
      <c r="D265" s="13"/>
      <c r="O265" s="152"/>
      <c r="P265" s="68"/>
      <c r="Q265" s="68"/>
      <c r="AA265" s="68"/>
      <c r="AB265" s="68"/>
    </row>
    <row r="266" spans="4:28" x14ac:dyDescent="0.25">
      <c r="D266" s="13"/>
      <c r="O266" s="152"/>
      <c r="P266" s="68"/>
      <c r="Q266" s="68"/>
      <c r="AA266" s="68"/>
      <c r="AB266" s="68"/>
    </row>
    <row r="267" spans="4:28" x14ac:dyDescent="0.25">
      <c r="D267" s="13"/>
      <c r="O267" s="152"/>
      <c r="P267" s="68"/>
      <c r="Q267" s="68"/>
      <c r="AA267" s="68"/>
      <c r="AB267" s="68"/>
    </row>
    <row r="268" spans="4:28" x14ac:dyDescent="0.25">
      <c r="D268" s="13"/>
      <c r="E268" s="108"/>
      <c r="F268" s="108"/>
      <c r="H268" s="101"/>
      <c r="I268" s="108"/>
      <c r="J268" s="108"/>
      <c r="K268" s="108"/>
      <c r="L268" s="108"/>
      <c r="M268" s="108"/>
      <c r="N268" s="108"/>
      <c r="O268" s="122"/>
      <c r="P268" s="68"/>
      <c r="Q268" s="68"/>
      <c r="R268" s="108"/>
      <c r="AA268" s="68"/>
      <c r="AB268" s="68"/>
    </row>
    <row r="269" spans="4:28" x14ac:dyDescent="0.25">
      <c r="D269" s="13"/>
      <c r="E269" s="108"/>
      <c r="F269" s="108"/>
      <c r="H269" s="101"/>
      <c r="O269" s="152"/>
      <c r="P269" s="68"/>
      <c r="Q269" s="68"/>
      <c r="AA269" s="68"/>
      <c r="AB269" s="68"/>
    </row>
    <row r="270" spans="4:28" x14ac:dyDescent="0.25">
      <c r="D270" s="13"/>
      <c r="E270" s="108"/>
      <c r="F270" s="108"/>
      <c r="H270" s="101"/>
      <c r="O270" s="152"/>
      <c r="P270" s="68"/>
      <c r="Q270" s="68"/>
      <c r="AA270" s="68"/>
      <c r="AB270" s="68"/>
    </row>
    <row r="271" spans="4:28" x14ac:dyDescent="0.25">
      <c r="D271" s="13"/>
      <c r="I271" s="108"/>
      <c r="J271" s="108"/>
      <c r="K271" s="108"/>
      <c r="L271" s="108"/>
      <c r="M271" s="108"/>
      <c r="N271" s="108"/>
      <c r="O271" s="122"/>
      <c r="P271" s="68"/>
      <c r="Q271" s="68"/>
      <c r="R271" s="108"/>
      <c r="AA271" s="68"/>
      <c r="AB271" s="68"/>
    </row>
    <row r="272" spans="4:28" x14ac:dyDescent="0.25">
      <c r="D272" s="13"/>
      <c r="O272" s="152"/>
      <c r="P272" s="68"/>
      <c r="Q272" s="68"/>
      <c r="AA272" s="68"/>
      <c r="AB272" s="68"/>
    </row>
    <row r="273" spans="4:28" x14ac:dyDescent="0.25">
      <c r="D273" s="13"/>
      <c r="E273" s="108"/>
      <c r="F273" s="108"/>
      <c r="H273" s="101"/>
      <c r="O273" s="152"/>
      <c r="P273" s="68"/>
      <c r="Q273" s="68"/>
      <c r="AA273" s="68"/>
      <c r="AB273" s="68"/>
    </row>
    <row r="274" spans="4:28" x14ac:dyDescent="0.25">
      <c r="D274" s="13"/>
      <c r="P274" s="68"/>
      <c r="Q274" s="68"/>
      <c r="AA274" s="68"/>
      <c r="AB274" s="68"/>
    </row>
    <row r="275" spans="4:28" x14ac:dyDescent="0.25">
      <c r="D275" s="13"/>
      <c r="O275" s="152"/>
      <c r="P275" s="68"/>
      <c r="Q275" s="68"/>
      <c r="AA275" s="68"/>
      <c r="AB275" s="68"/>
    </row>
    <row r="276" spans="4:28" x14ac:dyDescent="0.25">
      <c r="D276" s="13"/>
      <c r="O276" s="152"/>
      <c r="P276" s="68"/>
      <c r="Q276" s="68"/>
      <c r="AA276" s="68"/>
      <c r="AB276" s="68"/>
    </row>
    <row r="277" spans="4:28" x14ac:dyDescent="0.25">
      <c r="D277" s="13"/>
      <c r="O277" s="152"/>
      <c r="P277" s="68"/>
      <c r="Q277" s="68"/>
      <c r="AA277" s="68"/>
      <c r="AB277" s="68"/>
    </row>
    <row r="278" spans="4:28" x14ac:dyDescent="0.25">
      <c r="D278" s="13"/>
      <c r="O278" s="152"/>
      <c r="P278" s="68"/>
      <c r="Q278" s="68"/>
      <c r="AA278" s="68"/>
      <c r="AB278" s="68"/>
    </row>
    <row r="279" spans="4:28" x14ac:dyDescent="0.25">
      <c r="D279" s="13"/>
      <c r="O279" s="152"/>
      <c r="P279" s="68"/>
      <c r="Q279" s="68"/>
      <c r="AA279" s="68"/>
      <c r="AB279" s="68"/>
    </row>
    <row r="280" spans="4:28" x14ac:dyDescent="0.25">
      <c r="D280" s="13"/>
      <c r="O280" s="152"/>
      <c r="P280" s="68"/>
      <c r="Q280" s="68"/>
      <c r="AA280" s="68"/>
      <c r="AB280" s="68"/>
    </row>
    <row r="281" spans="4:28" x14ac:dyDescent="0.25">
      <c r="D281" s="13"/>
      <c r="O281" s="152"/>
      <c r="P281" s="68"/>
      <c r="Q281" s="68"/>
      <c r="AA281" s="68"/>
      <c r="AB281" s="68"/>
    </row>
    <row r="282" spans="4:28" x14ac:dyDescent="0.25">
      <c r="D282" s="13"/>
      <c r="I282" s="108"/>
      <c r="J282" s="108"/>
      <c r="K282" s="108"/>
      <c r="L282" s="108"/>
      <c r="M282" s="108"/>
      <c r="N282" s="108"/>
      <c r="O282" s="101"/>
      <c r="P282" s="68"/>
      <c r="Q282" s="68"/>
      <c r="R282" s="108"/>
      <c r="AA282" s="68"/>
      <c r="AB282" s="68"/>
    </row>
    <row r="283" spans="4:28" x14ac:dyDescent="0.25">
      <c r="D283" s="13"/>
      <c r="G283" s="120">
        <f>2+2</f>
        <v>4</v>
      </c>
      <c r="I283" s="108"/>
      <c r="J283" s="108"/>
      <c r="K283" s="108"/>
      <c r="L283" s="108"/>
      <c r="M283" s="108"/>
      <c r="N283" s="108"/>
      <c r="O283" s="101"/>
      <c r="P283" s="68"/>
      <c r="Q283" s="68"/>
      <c r="R283" s="108"/>
      <c r="AA283" s="68"/>
      <c r="AB283" s="68"/>
    </row>
    <row r="284" spans="4:28" x14ac:dyDescent="0.25">
      <c r="D284" s="13"/>
      <c r="O284" s="152"/>
      <c r="P284" s="68"/>
      <c r="Q284" s="68"/>
      <c r="AA284" s="68"/>
      <c r="AB284" s="68"/>
    </row>
    <row r="285" spans="4:28" x14ac:dyDescent="0.25">
      <c r="D285" s="13"/>
      <c r="E285" s="108"/>
      <c r="F285" s="108"/>
      <c r="O285" s="152"/>
      <c r="P285" s="68"/>
      <c r="Q285" s="68"/>
      <c r="AA285" s="68"/>
      <c r="AB285" s="68"/>
    </row>
    <row r="286" spans="4:28" x14ac:dyDescent="0.25">
      <c r="D286" s="13"/>
      <c r="I286" s="108"/>
      <c r="J286" s="108"/>
      <c r="K286" s="108"/>
      <c r="L286" s="108"/>
      <c r="M286" s="108"/>
      <c r="N286" s="108"/>
      <c r="O286" s="122"/>
      <c r="P286" s="68"/>
      <c r="Q286" s="68"/>
      <c r="R286" s="108"/>
      <c r="AA286" s="68"/>
      <c r="AB286" s="68"/>
    </row>
    <row r="287" spans="4:28" x14ac:dyDescent="0.25">
      <c r="D287" s="13"/>
      <c r="E287" s="108"/>
      <c r="F287" s="108"/>
      <c r="O287" s="152"/>
    </row>
    <row r="288" spans="4:28" x14ac:dyDescent="0.25">
      <c r="D288" s="13"/>
      <c r="E288" s="108"/>
      <c r="F288" s="108"/>
      <c r="I288" s="108"/>
      <c r="J288" s="108"/>
      <c r="K288" s="108"/>
      <c r="L288" s="108"/>
      <c r="M288" s="108"/>
      <c r="N288" s="108"/>
      <c r="O288" s="122"/>
      <c r="R288" s="108"/>
    </row>
    <row r="289" spans="4:18" x14ac:dyDescent="0.25">
      <c r="D289" s="13"/>
      <c r="E289" s="108"/>
      <c r="F289" s="108"/>
      <c r="O289" s="152"/>
    </row>
    <row r="290" spans="4:18" x14ac:dyDescent="0.25">
      <c r="D290" s="13"/>
      <c r="E290" s="108"/>
      <c r="F290" s="108"/>
      <c r="I290" s="154"/>
      <c r="J290" s="154"/>
      <c r="K290" s="154"/>
      <c r="L290" s="154"/>
      <c r="M290" s="154"/>
      <c r="N290" s="154"/>
      <c r="O290" s="152"/>
      <c r="R290" s="154"/>
    </row>
    <row r="291" spans="4:18" x14ac:dyDescent="0.25">
      <c r="D291" s="13"/>
      <c r="I291" s="154"/>
      <c r="J291" s="154"/>
      <c r="K291" s="154"/>
      <c r="L291" s="154"/>
      <c r="M291" s="154"/>
      <c r="N291" s="154"/>
      <c r="O291" s="152"/>
      <c r="R291" s="154"/>
    </row>
    <row r="292" spans="4:18" x14ac:dyDescent="0.25">
      <c r="D292" s="13"/>
      <c r="O292" s="152"/>
    </row>
    <row r="293" spans="4:18" x14ac:dyDescent="0.25">
      <c r="D293" s="13"/>
      <c r="E293" s="154"/>
      <c r="F293" s="154"/>
      <c r="O293" s="152"/>
    </row>
    <row r="294" spans="4:18" x14ac:dyDescent="0.25">
      <c r="D294" s="13"/>
      <c r="E294" s="154"/>
      <c r="F294" s="154"/>
      <c r="O294" s="152"/>
    </row>
    <row r="295" spans="4:18" x14ac:dyDescent="0.25">
      <c r="D295" s="13"/>
      <c r="E295" s="154"/>
      <c r="F295" s="154"/>
      <c r="O295" s="152"/>
    </row>
    <row r="296" spans="4:18" x14ac:dyDescent="0.25">
      <c r="D296" s="13"/>
      <c r="E296" s="154"/>
      <c r="F296" s="154"/>
      <c r="O296" s="152"/>
    </row>
    <row r="297" spans="4:18" x14ac:dyDescent="0.25">
      <c r="D297" s="13"/>
      <c r="O297" s="152"/>
    </row>
    <row r="298" spans="4:18" x14ac:dyDescent="0.25">
      <c r="D298" s="13"/>
      <c r="O298" s="152"/>
    </row>
    <row r="299" spans="4:18" x14ac:dyDescent="0.25">
      <c r="D299" s="13"/>
      <c r="O299" s="152"/>
    </row>
    <row r="300" spans="4:18" x14ac:dyDescent="0.25">
      <c r="D300" s="13"/>
      <c r="O300" s="152"/>
    </row>
    <row r="301" spans="4:18" x14ac:dyDescent="0.25">
      <c r="D301" s="13"/>
      <c r="O301" s="152"/>
    </row>
    <row r="302" spans="4:18" x14ac:dyDescent="0.25">
      <c r="D302" s="13"/>
      <c r="O302" s="152"/>
    </row>
    <row r="303" spans="4:18" x14ac:dyDescent="0.25">
      <c r="D303" s="13"/>
      <c r="O303" s="152"/>
    </row>
    <row r="304" spans="4:18" x14ac:dyDescent="0.25">
      <c r="D304" s="13"/>
      <c r="O304" s="152"/>
    </row>
    <row r="305" spans="4:18" x14ac:dyDescent="0.25">
      <c r="D305" s="13"/>
      <c r="O305" s="152"/>
    </row>
    <row r="306" spans="4:18" x14ac:dyDescent="0.25">
      <c r="D306" s="13"/>
      <c r="I306" s="108"/>
      <c r="J306" s="108"/>
      <c r="K306" s="108"/>
      <c r="L306" s="108"/>
      <c r="M306" s="108"/>
      <c r="N306" s="108"/>
      <c r="O306" s="101"/>
      <c r="R306" s="108"/>
    </row>
    <row r="307" spans="4:18" x14ac:dyDescent="0.25">
      <c r="D307" s="13"/>
      <c r="O307" s="152"/>
    </row>
    <row r="308" spans="4:18" x14ac:dyDescent="0.25">
      <c r="D308" s="13"/>
      <c r="O308" s="152"/>
    </row>
    <row r="309" spans="4:18" x14ac:dyDescent="0.25">
      <c r="D309" s="13"/>
      <c r="O309" s="152"/>
    </row>
    <row r="310" spans="4:18" x14ac:dyDescent="0.25">
      <c r="D310" s="13"/>
      <c r="O310" s="152"/>
    </row>
    <row r="311" spans="4:18" x14ac:dyDescent="0.25">
      <c r="D311" s="13"/>
      <c r="O311" s="152"/>
    </row>
    <row r="312" spans="4:18" x14ac:dyDescent="0.25">
      <c r="D312" s="13"/>
      <c r="O312" s="152"/>
    </row>
    <row r="313" spans="4:18" x14ac:dyDescent="0.25">
      <c r="D313" s="13"/>
      <c r="E313" s="108"/>
      <c r="F313" s="108"/>
      <c r="H313" s="101"/>
      <c r="O313" s="152"/>
    </row>
    <row r="314" spans="4:18" x14ac:dyDescent="0.25">
      <c r="D314" s="13"/>
      <c r="O314" s="152"/>
    </row>
    <row r="315" spans="4:18" x14ac:dyDescent="0.25">
      <c r="D315" s="13"/>
      <c r="O315" s="152"/>
    </row>
    <row r="316" spans="4:18" x14ac:dyDescent="0.25">
      <c r="D316" s="13"/>
      <c r="E316" s="3"/>
      <c r="F316" s="3"/>
    </row>
    <row r="317" spans="4:18" x14ac:dyDescent="0.25">
      <c r="D317" s="13"/>
      <c r="O317" s="152"/>
    </row>
    <row r="318" spans="4:18" x14ac:dyDescent="0.25">
      <c r="D318" s="13"/>
      <c r="E318" s="108"/>
      <c r="F318" s="108"/>
      <c r="H318" s="101"/>
    </row>
    <row r="319" spans="4:18" x14ac:dyDescent="0.25">
      <c r="D319" s="13"/>
      <c r="E319" s="108"/>
      <c r="F319" s="108"/>
      <c r="H319" s="101"/>
    </row>
    <row r="320" spans="4:18" x14ac:dyDescent="0.25">
      <c r="D320" s="13"/>
    </row>
    <row r="321" spans="4:4" x14ac:dyDescent="0.25">
      <c r="D321" s="13"/>
    </row>
    <row r="322" spans="4:4" x14ac:dyDescent="0.25">
      <c r="D322" s="13"/>
    </row>
    <row r="323" spans="4:4" x14ac:dyDescent="0.25">
      <c r="D323" s="13"/>
    </row>
    <row r="324" spans="4:4" x14ac:dyDescent="0.25">
      <c r="D324" s="13"/>
    </row>
    <row r="325" spans="4:4" x14ac:dyDescent="0.25">
      <c r="D325" s="13"/>
    </row>
    <row r="326" spans="4:4" x14ac:dyDescent="0.25">
      <c r="D326" s="13"/>
    </row>
    <row r="327" spans="4:4" x14ac:dyDescent="0.25">
      <c r="D327" s="13"/>
    </row>
    <row r="328" spans="4:4" x14ac:dyDescent="0.25">
      <c r="D328" s="13"/>
    </row>
    <row r="329" spans="4:4" x14ac:dyDescent="0.25">
      <c r="D329" s="13"/>
    </row>
    <row r="330" spans="4:4" x14ac:dyDescent="0.25">
      <c r="D330" s="13"/>
    </row>
    <row r="331" spans="4:4" x14ac:dyDescent="0.25">
      <c r="D331" s="13"/>
    </row>
    <row r="332" spans="4:4" x14ac:dyDescent="0.25">
      <c r="D332" s="13"/>
    </row>
    <row r="333" spans="4:4" x14ac:dyDescent="0.25">
      <c r="D333" s="13"/>
    </row>
    <row r="334" spans="4:4" x14ac:dyDescent="0.25">
      <c r="D334" s="13"/>
    </row>
    <row r="335" spans="4:4" x14ac:dyDescent="0.25">
      <c r="D335" s="13"/>
    </row>
    <row r="336" spans="4:4" x14ac:dyDescent="0.25">
      <c r="D336" s="13"/>
    </row>
    <row r="337" spans="4:4" x14ac:dyDescent="0.25">
      <c r="D337" s="13"/>
    </row>
    <row r="338" spans="4:4" x14ac:dyDescent="0.25">
      <c r="D338" s="13"/>
    </row>
    <row r="339" spans="4:4" x14ac:dyDescent="0.25">
      <c r="D339" s="13"/>
    </row>
    <row r="340" spans="4:4" x14ac:dyDescent="0.25">
      <c r="D340" s="13"/>
    </row>
    <row r="341" spans="4:4" x14ac:dyDescent="0.25">
      <c r="D341" s="13"/>
    </row>
    <row r="342" spans="4:4" x14ac:dyDescent="0.25">
      <c r="D342" s="13"/>
    </row>
    <row r="343" spans="4:4" x14ac:dyDescent="0.25">
      <c r="D343" s="13"/>
    </row>
    <row r="344" spans="4:4" x14ac:dyDescent="0.25">
      <c r="D344" s="13"/>
    </row>
    <row r="345" spans="4:4" x14ac:dyDescent="0.25">
      <c r="D345" s="13"/>
    </row>
    <row r="346" spans="4:4" x14ac:dyDescent="0.25">
      <c r="D346" s="13"/>
    </row>
    <row r="347" spans="4:4" x14ac:dyDescent="0.25">
      <c r="D347" s="13"/>
    </row>
    <row r="348" spans="4:4" x14ac:dyDescent="0.25">
      <c r="D348" s="13"/>
    </row>
    <row r="349" spans="4:4" x14ac:dyDescent="0.25">
      <c r="D349" s="13"/>
    </row>
    <row r="350" spans="4:4" x14ac:dyDescent="0.25">
      <c r="D350" s="13"/>
    </row>
    <row r="351" spans="4:4" x14ac:dyDescent="0.25">
      <c r="D351" s="13"/>
    </row>
    <row r="352" spans="4:4" x14ac:dyDescent="0.25">
      <c r="D352" s="13"/>
    </row>
    <row r="353" spans="4:4" x14ac:dyDescent="0.25">
      <c r="D353" s="13"/>
    </row>
    <row r="354" spans="4:4" x14ac:dyDescent="0.25">
      <c r="D354" s="13"/>
    </row>
    <row r="355" spans="4:4" x14ac:dyDescent="0.25">
      <c r="D355" s="13"/>
    </row>
    <row r="356" spans="4:4" x14ac:dyDescent="0.25">
      <c r="D356" s="13"/>
    </row>
    <row r="357" spans="4:4" x14ac:dyDescent="0.25">
      <c r="D357" s="13"/>
    </row>
    <row r="358" spans="4:4" x14ac:dyDescent="0.25">
      <c r="D358" s="13"/>
    </row>
    <row r="359" spans="4:4" x14ac:dyDescent="0.25">
      <c r="D359" s="13"/>
    </row>
    <row r="360" spans="4:4" x14ac:dyDescent="0.25">
      <c r="D360" s="13"/>
    </row>
    <row r="361" spans="4:4" x14ac:dyDescent="0.25">
      <c r="D361" s="13"/>
    </row>
    <row r="362" spans="4:4" x14ac:dyDescent="0.25">
      <c r="D362" s="13"/>
    </row>
    <row r="363" spans="4:4" x14ac:dyDescent="0.25">
      <c r="D363" s="13"/>
    </row>
    <row r="364" spans="4:4" x14ac:dyDescent="0.25">
      <c r="D364" s="13"/>
    </row>
    <row r="365" spans="4:4" x14ac:dyDescent="0.25">
      <c r="D365" s="13"/>
    </row>
    <row r="366" spans="4:4" x14ac:dyDescent="0.25">
      <c r="D366" s="13"/>
    </row>
    <row r="367" spans="4:4" x14ac:dyDescent="0.25">
      <c r="D367" s="13"/>
    </row>
    <row r="368" spans="4:4" x14ac:dyDescent="0.25">
      <c r="D368" s="13"/>
    </row>
    <row r="369" spans="4:4" x14ac:dyDescent="0.25">
      <c r="D369" s="13"/>
    </row>
    <row r="370" spans="4:4" x14ac:dyDescent="0.25">
      <c r="D370" s="13"/>
    </row>
    <row r="371" spans="4:4" x14ac:dyDescent="0.25">
      <c r="D371" s="13"/>
    </row>
    <row r="372" spans="4:4" x14ac:dyDescent="0.25">
      <c r="D372" s="13"/>
    </row>
    <row r="373" spans="4:4" x14ac:dyDescent="0.25">
      <c r="D373" s="13"/>
    </row>
    <row r="374" spans="4:4" x14ac:dyDescent="0.25">
      <c r="D374" s="13"/>
    </row>
    <row r="375" spans="4:4" x14ac:dyDescent="0.25">
      <c r="D375" s="13"/>
    </row>
    <row r="376" spans="4:4" x14ac:dyDescent="0.25">
      <c r="D376" s="13"/>
    </row>
    <row r="377" spans="4:4" x14ac:dyDescent="0.25">
      <c r="D377" s="13"/>
    </row>
    <row r="378" spans="4:4" x14ac:dyDescent="0.25">
      <c r="D378" s="13"/>
    </row>
    <row r="379" spans="4:4" x14ac:dyDescent="0.25">
      <c r="D379" s="13"/>
    </row>
    <row r="380" spans="4:4" x14ac:dyDescent="0.25">
      <c r="D380" s="13"/>
    </row>
    <row r="381" spans="4:4" x14ac:dyDescent="0.25">
      <c r="D381" s="13"/>
    </row>
    <row r="382" spans="4:4" x14ac:dyDescent="0.25">
      <c r="D382" s="13"/>
    </row>
    <row r="383" spans="4:4" x14ac:dyDescent="0.25">
      <c r="D383" s="13"/>
    </row>
    <row r="384" spans="4:4" x14ac:dyDescent="0.25">
      <c r="D384" s="13"/>
    </row>
    <row r="385" spans="4:4" x14ac:dyDescent="0.25">
      <c r="D385" s="13"/>
    </row>
    <row r="386" spans="4:4" x14ac:dyDescent="0.25">
      <c r="D386" s="13"/>
    </row>
    <row r="387" spans="4:4" x14ac:dyDescent="0.25">
      <c r="D387" s="13"/>
    </row>
    <row r="388" spans="4:4" x14ac:dyDescent="0.25">
      <c r="D388" s="13"/>
    </row>
    <row r="389" spans="4:4" x14ac:dyDescent="0.25">
      <c r="D389" s="13"/>
    </row>
    <row r="390" spans="4:4" x14ac:dyDescent="0.25">
      <c r="D390" s="13"/>
    </row>
    <row r="391" spans="4:4" x14ac:dyDescent="0.25">
      <c r="D391" s="13"/>
    </row>
    <row r="392" spans="4:4" x14ac:dyDescent="0.25">
      <c r="D392" s="13"/>
    </row>
    <row r="393" spans="4:4" x14ac:dyDescent="0.25">
      <c r="D393" s="13"/>
    </row>
    <row r="394" spans="4:4" x14ac:dyDescent="0.25">
      <c r="D394" s="13"/>
    </row>
    <row r="395" spans="4:4" x14ac:dyDescent="0.25">
      <c r="D395" s="13"/>
    </row>
    <row r="396" spans="4:4" x14ac:dyDescent="0.25">
      <c r="D396" s="13"/>
    </row>
    <row r="397" spans="4:4" x14ac:dyDescent="0.25">
      <c r="D397" s="13"/>
    </row>
    <row r="398" spans="4:4" x14ac:dyDescent="0.25">
      <c r="D398" s="13"/>
    </row>
    <row r="399" spans="4:4" x14ac:dyDescent="0.25">
      <c r="D399" s="13"/>
    </row>
    <row r="400" spans="4:4" x14ac:dyDescent="0.25">
      <c r="D400" s="13"/>
    </row>
    <row r="401" spans="4:4" x14ac:dyDescent="0.25">
      <c r="D401" s="13"/>
    </row>
    <row r="402" spans="4:4" x14ac:dyDescent="0.25">
      <c r="D402" s="13"/>
    </row>
    <row r="403" spans="4:4" x14ac:dyDescent="0.25">
      <c r="D403" s="13"/>
    </row>
    <row r="404" spans="4:4" x14ac:dyDescent="0.25">
      <c r="D404" s="13"/>
    </row>
    <row r="405" spans="4:4" x14ac:dyDescent="0.25">
      <c r="D405" s="13"/>
    </row>
    <row r="406" spans="4:4" x14ac:dyDescent="0.25">
      <c r="D406" s="13"/>
    </row>
    <row r="407" spans="4:4" x14ac:dyDescent="0.25">
      <c r="D407" s="13"/>
    </row>
    <row r="408" spans="4:4" x14ac:dyDescent="0.25">
      <c r="D408" s="13"/>
    </row>
    <row r="409" spans="4:4" x14ac:dyDescent="0.25">
      <c r="D409" s="13"/>
    </row>
    <row r="410" spans="4:4" x14ac:dyDescent="0.25">
      <c r="D410" s="13"/>
    </row>
    <row r="411" spans="4:4" x14ac:dyDescent="0.25">
      <c r="D411" s="13"/>
    </row>
    <row r="412" spans="4:4" x14ac:dyDescent="0.25">
      <c r="D412" s="13"/>
    </row>
    <row r="413" spans="4:4" x14ac:dyDescent="0.25">
      <c r="D413" s="13"/>
    </row>
    <row r="414" spans="4:4" x14ac:dyDescent="0.25">
      <c r="D414" s="13"/>
    </row>
    <row r="415" spans="4:4" x14ac:dyDescent="0.25">
      <c r="D415" s="13"/>
    </row>
    <row r="416" spans="4:4" x14ac:dyDescent="0.25">
      <c r="D416" s="13"/>
    </row>
    <row r="417" spans="4:4" x14ac:dyDescent="0.25">
      <c r="D417" s="13"/>
    </row>
    <row r="418" spans="4:4" x14ac:dyDescent="0.25">
      <c r="D418" s="13"/>
    </row>
    <row r="419" spans="4:4" x14ac:dyDescent="0.25">
      <c r="D419" s="13"/>
    </row>
    <row r="420" spans="4:4" x14ac:dyDescent="0.25">
      <c r="D420" s="13"/>
    </row>
    <row r="421" spans="4:4" x14ac:dyDescent="0.25">
      <c r="D421" s="13"/>
    </row>
    <row r="422" spans="4:4" x14ac:dyDescent="0.25">
      <c r="D422" s="13"/>
    </row>
    <row r="423" spans="4:4" x14ac:dyDescent="0.25">
      <c r="D423" s="13"/>
    </row>
    <row r="424" spans="4:4" x14ac:dyDescent="0.25">
      <c r="D424" s="13"/>
    </row>
    <row r="425" spans="4:4" x14ac:dyDescent="0.25">
      <c r="D425" s="13"/>
    </row>
    <row r="426" spans="4:4" x14ac:dyDescent="0.25">
      <c r="D426" s="13"/>
    </row>
    <row r="427" spans="4:4" x14ac:dyDescent="0.25">
      <c r="D427" s="13"/>
    </row>
    <row r="428" spans="4:4" x14ac:dyDescent="0.25">
      <c r="D428" s="13"/>
    </row>
    <row r="429" spans="4:4" x14ac:dyDescent="0.25">
      <c r="D429" s="13"/>
    </row>
    <row r="430" spans="4:4" x14ac:dyDescent="0.25">
      <c r="D430" s="13"/>
    </row>
    <row r="431" spans="4:4" x14ac:dyDescent="0.25">
      <c r="D431" s="13"/>
    </row>
    <row r="432" spans="4:4" x14ac:dyDescent="0.25">
      <c r="D432" s="13"/>
    </row>
    <row r="433" spans="4:4" x14ac:dyDescent="0.25">
      <c r="D433" s="13"/>
    </row>
    <row r="434" spans="4:4" x14ac:dyDescent="0.25">
      <c r="D434" s="13"/>
    </row>
    <row r="435" spans="4:4" x14ac:dyDescent="0.25">
      <c r="D435" s="13"/>
    </row>
    <row r="436" spans="4:4" x14ac:dyDescent="0.25">
      <c r="D436" s="13"/>
    </row>
    <row r="437" spans="4:4" x14ac:dyDescent="0.25">
      <c r="D437" s="13"/>
    </row>
    <row r="438" spans="4:4" x14ac:dyDescent="0.25">
      <c r="D438" s="13"/>
    </row>
    <row r="439" spans="4:4" x14ac:dyDescent="0.25">
      <c r="D439" s="13"/>
    </row>
    <row r="440" spans="4:4" x14ac:dyDescent="0.25">
      <c r="D440" s="13"/>
    </row>
    <row r="441" spans="4:4" x14ac:dyDescent="0.25">
      <c r="D441" s="13"/>
    </row>
    <row r="442" spans="4:4" x14ac:dyDescent="0.25">
      <c r="D442" s="13"/>
    </row>
    <row r="443" spans="4:4" x14ac:dyDescent="0.25">
      <c r="D443" s="13"/>
    </row>
    <row r="444" spans="4:4" x14ac:dyDescent="0.25">
      <c r="D444" s="13"/>
    </row>
    <row r="445" spans="4:4" x14ac:dyDescent="0.25">
      <c r="D445" s="13"/>
    </row>
    <row r="446" spans="4:4" x14ac:dyDescent="0.25">
      <c r="D446" s="13"/>
    </row>
    <row r="447" spans="4:4" x14ac:dyDescent="0.25">
      <c r="D447" s="13"/>
    </row>
    <row r="448" spans="4:4" x14ac:dyDescent="0.25">
      <c r="D448" s="13"/>
    </row>
    <row r="449" spans="4:4" x14ac:dyDescent="0.25">
      <c r="D449" s="13"/>
    </row>
    <row r="450" spans="4:4" x14ac:dyDescent="0.25">
      <c r="D450" s="13"/>
    </row>
    <row r="451" spans="4:4" x14ac:dyDescent="0.25">
      <c r="D451" s="13"/>
    </row>
    <row r="452" spans="4:4" x14ac:dyDescent="0.25">
      <c r="D452" s="13"/>
    </row>
    <row r="453" spans="4:4" x14ac:dyDescent="0.25">
      <c r="D453" s="13"/>
    </row>
    <row r="454" spans="4:4" x14ac:dyDescent="0.25">
      <c r="D454" s="13"/>
    </row>
    <row r="455" spans="4:4" x14ac:dyDescent="0.25">
      <c r="D455" s="13"/>
    </row>
    <row r="456" spans="4:4" x14ac:dyDescent="0.25">
      <c r="D456" s="13"/>
    </row>
    <row r="457" spans="4:4" x14ac:dyDescent="0.25">
      <c r="D457" s="13"/>
    </row>
    <row r="458" spans="4:4" x14ac:dyDescent="0.25">
      <c r="D458" s="13"/>
    </row>
    <row r="459" spans="4:4" x14ac:dyDescent="0.25">
      <c r="D459" s="13"/>
    </row>
    <row r="460" spans="4:4" x14ac:dyDescent="0.25">
      <c r="D460" s="13"/>
    </row>
    <row r="461" spans="4:4" x14ac:dyDescent="0.25">
      <c r="D461" s="13"/>
    </row>
    <row r="462" spans="4:4" x14ac:dyDescent="0.25">
      <c r="D462" s="13"/>
    </row>
    <row r="463" spans="4:4" x14ac:dyDescent="0.25">
      <c r="D463" s="13"/>
    </row>
    <row r="464" spans="4:4" x14ac:dyDescent="0.25">
      <c r="D464" s="13"/>
    </row>
    <row r="465" spans="4:4" x14ac:dyDescent="0.25">
      <c r="D465" s="13"/>
    </row>
    <row r="466" spans="4:4" x14ac:dyDescent="0.25">
      <c r="D466" s="13"/>
    </row>
    <row r="467" spans="4:4" x14ac:dyDescent="0.25">
      <c r="D467" s="13"/>
    </row>
    <row r="468" spans="4:4" x14ac:dyDescent="0.25">
      <c r="D468" s="13"/>
    </row>
    <row r="469" spans="4:4" x14ac:dyDescent="0.25">
      <c r="D469" s="13"/>
    </row>
    <row r="470" spans="4:4" x14ac:dyDescent="0.25">
      <c r="D470" s="13"/>
    </row>
    <row r="471" spans="4:4" x14ac:dyDescent="0.25">
      <c r="D471" s="13"/>
    </row>
    <row r="472" spans="4:4" x14ac:dyDescent="0.25">
      <c r="D472" s="13"/>
    </row>
    <row r="473" spans="4:4" x14ac:dyDescent="0.25">
      <c r="D473" s="13"/>
    </row>
    <row r="474" spans="4:4" x14ac:dyDescent="0.25">
      <c r="D474" s="13"/>
    </row>
    <row r="475" spans="4:4" x14ac:dyDescent="0.25">
      <c r="D475" s="13"/>
    </row>
    <row r="476" spans="4:4" x14ac:dyDescent="0.25">
      <c r="D476" s="13"/>
    </row>
    <row r="477" spans="4:4" x14ac:dyDescent="0.25">
      <c r="D477" s="13"/>
    </row>
    <row r="478" spans="4:4" x14ac:dyDescent="0.25">
      <c r="D478" s="13"/>
    </row>
    <row r="479" spans="4:4" x14ac:dyDescent="0.25">
      <c r="D479" s="13"/>
    </row>
    <row r="480" spans="4:4" x14ac:dyDescent="0.25">
      <c r="D480" s="13"/>
    </row>
    <row r="481" spans="4:4" x14ac:dyDescent="0.25">
      <c r="D481" s="13"/>
    </row>
    <row r="482" spans="4:4" x14ac:dyDescent="0.25">
      <c r="D482" s="13"/>
    </row>
    <row r="483" spans="4:4" x14ac:dyDescent="0.25">
      <c r="D483" s="13"/>
    </row>
    <row r="484" spans="4:4" x14ac:dyDescent="0.25">
      <c r="D484" s="13"/>
    </row>
    <row r="485" spans="4:4" x14ac:dyDescent="0.25">
      <c r="D485" s="13"/>
    </row>
    <row r="486" spans="4:4" x14ac:dyDescent="0.25">
      <c r="D486" s="13"/>
    </row>
    <row r="487" spans="4:4" x14ac:dyDescent="0.25">
      <c r="D487" s="13"/>
    </row>
    <row r="488" spans="4:4" x14ac:dyDescent="0.25">
      <c r="D488" s="13"/>
    </row>
    <row r="489" spans="4:4" x14ac:dyDescent="0.25">
      <c r="D489" s="13"/>
    </row>
    <row r="490" spans="4:4" x14ac:dyDescent="0.25">
      <c r="D490" s="13"/>
    </row>
    <row r="491" spans="4:4" x14ac:dyDescent="0.25">
      <c r="D491" s="13"/>
    </row>
    <row r="492" spans="4:4" x14ac:dyDescent="0.25">
      <c r="D492" s="13"/>
    </row>
    <row r="493" spans="4:4" x14ac:dyDescent="0.25">
      <c r="D493" s="13"/>
    </row>
    <row r="494" spans="4:4" x14ac:dyDescent="0.25">
      <c r="D494" s="13"/>
    </row>
    <row r="495" spans="4:4" x14ac:dyDescent="0.25">
      <c r="D495" s="13"/>
    </row>
    <row r="496" spans="4:4" x14ac:dyDescent="0.25">
      <c r="D496" s="13"/>
    </row>
    <row r="497" spans="4:4" x14ac:dyDescent="0.25">
      <c r="D497" s="13"/>
    </row>
    <row r="498" spans="4:4" x14ac:dyDescent="0.25">
      <c r="D498" s="13"/>
    </row>
    <row r="499" spans="4:4" x14ac:dyDescent="0.25">
      <c r="D499" s="13"/>
    </row>
    <row r="500" spans="4:4" x14ac:dyDescent="0.25">
      <c r="D500" s="13"/>
    </row>
    <row r="501" spans="4:4" x14ac:dyDescent="0.25">
      <c r="D501" s="13"/>
    </row>
    <row r="502" spans="4:4" x14ac:dyDescent="0.25">
      <c r="D502" s="13"/>
    </row>
    <row r="503" spans="4:4" x14ac:dyDescent="0.25">
      <c r="D503" s="13"/>
    </row>
    <row r="504" spans="4:4" x14ac:dyDescent="0.25">
      <c r="D504" s="13"/>
    </row>
    <row r="505" spans="4:4" x14ac:dyDescent="0.25">
      <c r="D505" s="13"/>
    </row>
    <row r="506" spans="4:4" x14ac:dyDescent="0.25">
      <c r="D506" s="13"/>
    </row>
    <row r="507" spans="4:4" x14ac:dyDescent="0.25">
      <c r="D507" s="13"/>
    </row>
    <row r="508" spans="4:4" x14ac:dyDescent="0.25">
      <c r="D508" s="13"/>
    </row>
    <row r="509" spans="4:4" x14ac:dyDescent="0.25">
      <c r="D509" s="13"/>
    </row>
    <row r="510" spans="4:4" x14ac:dyDescent="0.25">
      <c r="D510" s="13"/>
    </row>
    <row r="511" spans="4:4" x14ac:dyDescent="0.25">
      <c r="D511" s="13"/>
    </row>
    <row r="512" spans="4:4" x14ac:dyDescent="0.25">
      <c r="D512" s="13"/>
    </row>
    <row r="513" spans="4:4" x14ac:dyDescent="0.25">
      <c r="D513" s="13"/>
    </row>
    <row r="514" spans="4:4" x14ac:dyDescent="0.25">
      <c r="D514" s="13"/>
    </row>
    <row r="515" spans="4:4" x14ac:dyDescent="0.25">
      <c r="D515" s="13"/>
    </row>
    <row r="516" spans="4:4" x14ac:dyDescent="0.25">
      <c r="D516" s="13"/>
    </row>
    <row r="517" spans="4:4" x14ac:dyDescent="0.25">
      <c r="D517" s="13"/>
    </row>
    <row r="518" spans="4:4" x14ac:dyDescent="0.25">
      <c r="D518" s="13"/>
    </row>
    <row r="519" spans="4:4" x14ac:dyDescent="0.25">
      <c r="D519" s="13"/>
    </row>
    <row r="520" spans="4:4" x14ac:dyDescent="0.25">
      <c r="D520" s="13"/>
    </row>
    <row r="521" spans="4:4" x14ac:dyDescent="0.25">
      <c r="D521" s="13"/>
    </row>
    <row r="522" spans="4:4" x14ac:dyDescent="0.25">
      <c r="D522" s="13"/>
    </row>
    <row r="523" spans="4:4" x14ac:dyDescent="0.25">
      <c r="D523" s="13"/>
    </row>
    <row r="524" spans="4:4" x14ac:dyDescent="0.25">
      <c r="D524" s="13"/>
    </row>
    <row r="525" spans="4:4" x14ac:dyDescent="0.25">
      <c r="D525" s="13"/>
    </row>
    <row r="526" spans="4:4" x14ac:dyDescent="0.25">
      <c r="D526" s="13"/>
    </row>
    <row r="527" spans="4:4" x14ac:dyDescent="0.25">
      <c r="D527" s="13"/>
    </row>
    <row r="528" spans="4:4" x14ac:dyDescent="0.25">
      <c r="D528" s="13"/>
    </row>
    <row r="529" spans="4:4" x14ac:dyDescent="0.25">
      <c r="D529" s="13"/>
    </row>
    <row r="530" spans="4:4" x14ac:dyDescent="0.25">
      <c r="D530" s="13"/>
    </row>
    <row r="531" spans="4:4" x14ac:dyDescent="0.25">
      <c r="D531" s="13"/>
    </row>
    <row r="532" spans="4:4" x14ac:dyDescent="0.25">
      <c r="D532" s="13"/>
    </row>
    <row r="533" spans="4:4" x14ac:dyDescent="0.25">
      <c r="D533" s="13"/>
    </row>
    <row r="534" spans="4:4" x14ac:dyDescent="0.25">
      <c r="D534" s="13"/>
    </row>
    <row r="535" spans="4:4" x14ac:dyDescent="0.25">
      <c r="D535" s="13"/>
    </row>
    <row r="536" spans="4:4" x14ac:dyDescent="0.25">
      <c r="D536" s="13"/>
    </row>
    <row r="537" spans="4:4" x14ac:dyDescent="0.25">
      <c r="D537" s="13"/>
    </row>
    <row r="538" spans="4:4" x14ac:dyDescent="0.25">
      <c r="D538" s="13"/>
    </row>
    <row r="539" spans="4:4" x14ac:dyDescent="0.25">
      <c r="D539" s="13"/>
    </row>
    <row r="540" spans="4:4" x14ac:dyDescent="0.25">
      <c r="D540" s="13"/>
    </row>
    <row r="541" spans="4:4" x14ac:dyDescent="0.25">
      <c r="D541" s="13"/>
    </row>
    <row r="542" spans="4:4" x14ac:dyDescent="0.25">
      <c r="D542" s="13"/>
    </row>
    <row r="543" spans="4:4" x14ac:dyDescent="0.25">
      <c r="D543" s="13"/>
    </row>
    <row r="544" spans="4:4" x14ac:dyDescent="0.25">
      <c r="D544" s="13"/>
    </row>
    <row r="545" spans="4:4" x14ac:dyDescent="0.25">
      <c r="D545" s="13"/>
    </row>
    <row r="546" spans="4:4" x14ac:dyDescent="0.25">
      <c r="D546" s="13"/>
    </row>
    <row r="547" spans="4:4" x14ac:dyDescent="0.25">
      <c r="D547" s="13"/>
    </row>
    <row r="548" spans="4:4" x14ac:dyDescent="0.25">
      <c r="D548" s="13"/>
    </row>
    <row r="549" spans="4:4" x14ac:dyDescent="0.25">
      <c r="D549" s="13"/>
    </row>
    <row r="550" spans="4:4" x14ac:dyDescent="0.25">
      <c r="D550" s="13"/>
    </row>
    <row r="551" spans="4:4" x14ac:dyDescent="0.25">
      <c r="D551" s="13"/>
    </row>
    <row r="552" spans="4:4" x14ac:dyDescent="0.25">
      <c r="D552" s="13"/>
    </row>
    <row r="553" spans="4:4" x14ac:dyDescent="0.25">
      <c r="D553" s="13"/>
    </row>
    <row r="554" spans="4:4" x14ac:dyDescent="0.25">
      <c r="D554" s="13"/>
    </row>
    <row r="555" spans="4:4" x14ac:dyDescent="0.25">
      <c r="D555" s="13"/>
    </row>
    <row r="556" spans="4:4" x14ac:dyDescent="0.25">
      <c r="D556" s="13"/>
    </row>
    <row r="557" spans="4:4" x14ac:dyDescent="0.25">
      <c r="D557" s="13"/>
    </row>
    <row r="558" spans="4:4" x14ac:dyDescent="0.25">
      <c r="D558" s="13"/>
    </row>
    <row r="559" spans="4:4" x14ac:dyDescent="0.25">
      <c r="D559" s="13"/>
    </row>
    <row r="560" spans="4:4" x14ac:dyDescent="0.25">
      <c r="D560" s="13"/>
    </row>
    <row r="561" spans="4:4" x14ac:dyDescent="0.25">
      <c r="D561" s="13"/>
    </row>
    <row r="562" spans="4:4" x14ac:dyDescent="0.25">
      <c r="D562" s="13"/>
    </row>
    <row r="563" spans="4:4" x14ac:dyDescent="0.25">
      <c r="D563" s="13"/>
    </row>
    <row r="564" spans="4:4" x14ac:dyDescent="0.25">
      <c r="D564" s="13"/>
    </row>
    <row r="565" spans="4:4" x14ac:dyDescent="0.25">
      <c r="D565" s="13"/>
    </row>
    <row r="566" spans="4:4" x14ac:dyDescent="0.25">
      <c r="D566" s="13"/>
    </row>
    <row r="567" spans="4:4" x14ac:dyDescent="0.25">
      <c r="D567" s="13"/>
    </row>
    <row r="568" spans="4:4" x14ac:dyDescent="0.25">
      <c r="D568" s="13"/>
    </row>
    <row r="569" spans="4:4" x14ac:dyDescent="0.25">
      <c r="D569" s="13"/>
    </row>
    <row r="570" spans="4:4" x14ac:dyDescent="0.25">
      <c r="D570" s="13"/>
    </row>
    <row r="571" spans="4:4" x14ac:dyDescent="0.25">
      <c r="D571" s="13"/>
    </row>
    <row r="572" spans="4:4" x14ac:dyDescent="0.25">
      <c r="D572" s="13"/>
    </row>
    <row r="573" spans="4:4" x14ac:dyDescent="0.25">
      <c r="D573" s="13"/>
    </row>
    <row r="574" spans="4:4" x14ac:dyDescent="0.25">
      <c r="D574" s="13"/>
    </row>
    <row r="575" spans="4:4" x14ac:dyDescent="0.25">
      <c r="D575" s="13"/>
    </row>
    <row r="576" spans="4:4" x14ac:dyDescent="0.25">
      <c r="D576" s="13"/>
    </row>
    <row r="577" spans="4:4" x14ac:dyDescent="0.25">
      <c r="D577" s="13"/>
    </row>
    <row r="578" spans="4:4" x14ac:dyDescent="0.25">
      <c r="D578" s="13"/>
    </row>
    <row r="579" spans="4:4" x14ac:dyDescent="0.25">
      <c r="D579" s="13"/>
    </row>
    <row r="580" spans="4:4" x14ac:dyDescent="0.25">
      <c r="D580" s="13"/>
    </row>
    <row r="581" spans="4:4" x14ac:dyDescent="0.25">
      <c r="D581" s="13"/>
    </row>
    <row r="582" spans="4:4" x14ac:dyDescent="0.25">
      <c r="D582" s="13"/>
    </row>
    <row r="583" spans="4:4" x14ac:dyDescent="0.25">
      <c r="D583" s="13"/>
    </row>
    <row r="584" spans="4:4" x14ac:dyDescent="0.25">
      <c r="D584" s="13"/>
    </row>
    <row r="585" spans="4:4" x14ac:dyDescent="0.25">
      <c r="D585" s="13"/>
    </row>
    <row r="586" spans="4:4" x14ac:dyDescent="0.25">
      <c r="D586" s="13"/>
    </row>
    <row r="587" spans="4:4" x14ac:dyDescent="0.25">
      <c r="D587" s="13"/>
    </row>
    <row r="588" spans="4:4" x14ac:dyDescent="0.25">
      <c r="D588" s="13"/>
    </row>
    <row r="589" spans="4:4" x14ac:dyDescent="0.25">
      <c r="D589" s="13"/>
    </row>
    <row r="590" spans="4:4" x14ac:dyDescent="0.25">
      <c r="D590" s="13"/>
    </row>
    <row r="591" spans="4:4" x14ac:dyDescent="0.25">
      <c r="D591" s="13"/>
    </row>
    <row r="592" spans="4:4" x14ac:dyDescent="0.25">
      <c r="D592" s="13"/>
    </row>
    <row r="593" spans="4:4" x14ac:dyDescent="0.25">
      <c r="D593" s="13"/>
    </row>
    <row r="594" spans="4:4" x14ac:dyDescent="0.25">
      <c r="D594" s="13"/>
    </row>
    <row r="595" spans="4:4" x14ac:dyDescent="0.25">
      <c r="D595" s="13"/>
    </row>
    <row r="596" spans="4:4" x14ac:dyDescent="0.25">
      <c r="D596" s="13"/>
    </row>
    <row r="597" spans="4:4" x14ac:dyDescent="0.25">
      <c r="D597" s="13"/>
    </row>
    <row r="598" spans="4:4" x14ac:dyDescent="0.25">
      <c r="D598" s="13"/>
    </row>
    <row r="599" spans="4:4" x14ac:dyDescent="0.25">
      <c r="D599" s="13"/>
    </row>
    <row r="600" spans="4:4" x14ac:dyDescent="0.25">
      <c r="D600" s="13"/>
    </row>
    <row r="601" spans="4:4" x14ac:dyDescent="0.25">
      <c r="D601" s="13"/>
    </row>
    <row r="602" spans="4:4" x14ac:dyDescent="0.25">
      <c r="D602" s="13"/>
    </row>
    <row r="603" spans="4:4" x14ac:dyDescent="0.25">
      <c r="D603" s="13"/>
    </row>
    <row r="604" spans="4:4" x14ac:dyDescent="0.25">
      <c r="D604" s="13"/>
    </row>
    <row r="605" spans="4:4" x14ac:dyDescent="0.25">
      <c r="D605" s="13"/>
    </row>
    <row r="606" spans="4:4" x14ac:dyDescent="0.25">
      <c r="D606" s="13"/>
    </row>
    <row r="607" spans="4:4" x14ac:dyDescent="0.25">
      <c r="D607" s="13"/>
    </row>
    <row r="608" spans="4:4" x14ac:dyDescent="0.25">
      <c r="D608" s="13"/>
    </row>
    <row r="609" spans="4:4" x14ac:dyDescent="0.25">
      <c r="D609" s="13"/>
    </row>
    <row r="610" spans="4:4" x14ac:dyDescent="0.25">
      <c r="D610" s="13"/>
    </row>
    <row r="611" spans="4:4" x14ac:dyDescent="0.25">
      <c r="D611" s="13"/>
    </row>
    <row r="612" spans="4:4" x14ac:dyDescent="0.25">
      <c r="D612" s="13"/>
    </row>
    <row r="613" spans="4:4" x14ac:dyDescent="0.25">
      <c r="D613" s="13"/>
    </row>
    <row r="614" spans="4:4" x14ac:dyDescent="0.25">
      <c r="D614" s="13"/>
    </row>
    <row r="615" spans="4:4" x14ac:dyDescent="0.25">
      <c r="D615" s="13"/>
    </row>
    <row r="616" spans="4:4" x14ac:dyDescent="0.25">
      <c r="D616" s="13"/>
    </row>
    <row r="617" spans="4:4" x14ac:dyDescent="0.25">
      <c r="D617" s="13"/>
    </row>
    <row r="618" spans="4:4" x14ac:dyDescent="0.25">
      <c r="D618" s="13"/>
    </row>
    <row r="619" spans="4:4" x14ac:dyDescent="0.25">
      <c r="D619" s="13"/>
    </row>
    <row r="620" spans="4:4" x14ac:dyDescent="0.25">
      <c r="D620" s="13"/>
    </row>
    <row r="621" spans="4:4" x14ac:dyDescent="0.25">
      <c r="D621" s="13"/>
    </row>
    <row r="622" spans="4:4" x14ac:dyDescent="0.25">
      <c r="D622" s="13"/>
    </row>
    <row r="623" spans="4:4" x14ac:dyDescent="0.25">
      <c r="D623" s="13"/>
    </row>
    <row r="624" spans="4:4" x14ac:dyDescent="0.25">
      <c r="D624" s="13"/>
    </row>
    <row r="625" spans="4:4" x14ac:dyDescent="0.25">
      <c r="D625" s="13"/>
    </row>
    <row r="626" spans="4:4" x14ac:dyDescent="0.25">
      <c r="D626" s="13"/>
    </row>
    <row r="627" spans="4:4" x14ac:dyDescent="0.25">
      <c r="D627" s="13"/>
    </row>
    <row r="628" spans="4:4" x14ac:dyDescent="0.25">
      <c r="D628" s="13"/>
    </row>
    <row r="629" spans="4:4" x14ac:dyDescent="0.25">
      <c r="D629" s="13"/>
    </row>
    <row r="630" spans="4:4" x14ac:dyDescent="0.25">
      <c r="D630" s="13"/>
    </row>
    <row r="631" spans="4:4" x14ac:dyDescent="0.25">
      <c r="D631" s="13"/>
    </row>
    <row r="632" spans="4:4" x14ac:dyDescent="0.25">
      <c r="D632" s="13"/>
    </row>
    <row r="633" spans="4:4" x14ac:dyDescent="0.25">
      <c r="D633" s="13"/>
    </row>
    <row r="634" spans="4:4" x14ac:dyDescent="0.25">
      <c r="D634" s="13"/>
    </row>
    <row r="635" spans="4:4" x14ac:dyDescent="0.25">
      <c r="D635" s="13"/>
    </row>
    <row r="636" spans="4:4" x14ac:dyDescent="0.25">
      <c r="D636" s="13"/>
    </row>
    <row r="637" spans="4:4" x14ac:dyDescent="0.25">
      <c r="D637" s="13"/>
    </row>
    <row r="638" spans="4:4" x14ac:dyDescent="0.25">
      <c r="D638" s="13"/>
    </row>
    <row r="639" spans="4:4" x14ac:dyDescent="0.25">
      <c r="D639" s="13"/>
    </row>
    <row r="640" spans="4:4" x14ac:dyDescent="0.25">
      <c r="D640" s="13"/>
    </row>
    <row r="641" spans="4:4" x14ac:dyDescent="0.25">
      <c r="D641" s="13"/>
    </row>
    <row r="642" spans="4:4" x14ac:dyDescent="0.25">
      <c r="D642" s="13"/>
    </row>
    <row r="643" spans="4:4" x14ac:dyDescent="0.25">
      <c r="D643" s="13"/>
    </row>
    <row r="644" spans="4:4" x14ac:dyDescent="0.25">
      <c r="D644" s="13"/>
    </row>
    <row r="645" spans="4:4" x14ac:dyDescent="0.25">
      <c r="D645" s="13"/>
    </row>
    <row r="646" spans="4:4" x14ac:dyDescent="0.25">
      <c r="D646" s="13"/>
    </row>
    <row r="647" spans="4:4" x14ac:dyDescent="0.25">
      <c r="D647" s="13"/>
    </row>
    <row r="648" spans="4:4" x14ac:dyDescent="0.25">
      <c r="D648" s="13"/>
    </row>
    <row r="649" spans="4:4" x14ac:dyDescent="0.25">
      <c r="D649" s="13"/>
    </row>
    <row r="650" spans="4:4" x14ac:dyDescent="0.25">
      <c r="D650" s="13"/>
    </row>
    <row r="651" spans="4:4" x14ac:dyDescent="0.25">
      <c r="D651" s="13"/>
    </row>
    <row r="652" spans="4:4" x14ac:dyDescent="0.25">
      <c r="D652" s="13"/>
    </row>
    <row r="653" spans="4:4" x14ac:dyDescent="0.25">
      <c r="D653" s="13"/>
    </row>
    <row r="654" spans="4:4" x14ac:dyDescent="0.25">
      <c r="D654" s="13"/>
    </row>
    <row r="655" spans="4:4" x14ac:dyDescent="0.25">
      <c r="D655" s="13"/>
    </row>
    <row r="656" spans="4:4" x14ac:dyDescent="0.25">
      <c r="D656" s="13"/>
    </row>
    <row r="657" spans="4:4" x14ac:dyDescent="0.25">
      <c r="D657" s="13"/>
    </row>
    <row r="658" spans="4:4" x14ac:dyDescent="0.25">
      <c r="D658" s="13"/>
    </row>
    <row r="659" spans="4:4" x14ac:dyDescent="0.25">
      <c r="D659" s="13"/>
    </row>
    <row r="660" spans="4:4" x14ac:dyDescent="0.25">
      <c r="D660" s="13"/>
    </row>
    <row r="661" spans="4:4" x14ac:dyDescent="0.25">
      <c r="D661" s="13"/>
    </row>
    <row r="662" spans="4:4" x14ac:dyDescent="0.25">
      <c r="D662" s="13"/>
    </row>
    <row r="663" spans="4:4" x14ac:dyDescent="0.25">
      <c r="D663" s="13"/>
    </row>
    <row r="664" spans="4:4" x14ac:dyDescent="0.25">
      <c r="D664" s="13"/>
    </row>
    <row r="665" spans="4:4" x14ac:dyDescent="0.25">
      <c r="D665" s="13"/>
    </row>
    <row r="666" spans="4:4" x14ac:dyDescent="0.25">
      <c r="D666" s="13"/>
    </row>
    <row r="667" spans="4:4" x14ac:dyDescent="0.25">
      <c r="D667" s="13"/>
    </row>
    <row r="668" spans="4:4" x14ac:dyDescent="0.25">
      <c r="D668" s="13"/>
    </row>
    <row r="669" spans="4:4" x14ac:dyDescent="0.25">
      <c r="D669" s="13"/>
    </row>
    <row r="670" spans="4:4" x14ac:dyDescent="0.25">
      <c r="D670" s="13"/>
    </row>
    <row r="671" spans="4:4" x14ac:dyDescent="0.25">
      <c r="D671" s="13"/>
    </row>
    <row r="672" spans="4:4" x14ac:dyDescent="0.25">
      <c r="D672" s="13"/>
    </row>
    <row r="673" spans="4:4" x14ac:dyDescent="0.25">
      <c r="D673" s="13"/>
    </row>
    <row r="674" spans="4:4" x14ac:dyDescent="0.25">
      <c r="D674" s="13"/>
    </row>
    <row r="675" spans="4:4" x14ac:dyDescent="0.25">
      <c r="D675" s="13"/>
    </row>
    <row r="676" spans="4:4" x14ac:dyDescent="0.25">
      <c r="D676" s="13"/>
    </row>
    <row r="677" spans="4:4" x14ac:dyDescent="0.25">
      <c r="D677" s="13"/>
    </row>
    <row r="678" spans="4:4" x14ac:dyDescent="0.25">
      <c r="D678" s="13"/>
    </row>
    <row r="679" spans="4:4" x14ac:dyDescent="0.25">
      <c r="D679" s="13"/>
    </row>
    <row r="680" spans="4:4" x14ac:dyDescent="0.25">
      <c r="D680" s="13"/>
    </row>
    <row r="681" spans="4:4" x14ac:dyDescent="0.25">
      <c r="D681" s="13"/>
    </row>
    <row r="682" spans="4:4" x14ac:dyDescent="0.25">
      <c r="D682" s="13"/>
    </row>
    <row r="683" spans="4:4" x14ac:dyDescent="0.25">
      <c r="D683" s="13"/>
    </row>
    <row r="684" spans="4:4" x14ac:dyDescent="0.25">
      <c r="D684" s="13"/>
    </row>
    <row r="685" spans="4:4" x14ac:dyDescent="0.25">
      <c r="D685" s="13"/>
    </row>
    <row r="686" spans="4:4" x14ac:dyDescent="0.25">
      <c r="D686" s="13"/>
    </row>
    <row r="687" spans="4:4" x14ac:dyDescent="0.25">
      <c r="D687" s="13"/>
    </row>
    <row r="688" spans="4:4" x14ac:dyDescent="0.25">
      <c r="D688" s="13"/>
    </row>
    <row r="689" spans="4:4" x14ac:dyDescent="0.25">
      <c r="D689" s="13"/>
    </row>
    <row r="690" spans="4:4" x14ac:dyDescent="0.25">
      <c r="D690" s="13"/>
    </row>
    <row r="691" spans="4:4" x14ac:dyDescent="0.25">
      <c r="D691" s="13"/>
    </row>
    <row r="692" spans="4:4" x14ac:dyDescent="0.25">
      <c r="D692" s="13"/>
    </row>
    <row r="693" spans="4:4" x14ac:dyDescent="0.25">
      <c r="D693" s="13"/>
    </row>
    <row r="694" spans="4:4" x14ac:dyDescent="0.25">
      <c r="D694" s="13"/>
    </row>
    <row r="695" spans="4:4" x14ac:dyDescent="0.25">
      <c r="D695" s="13"/>
    </row>
    <row r="696" spans="4:4" x14ac:dyDescent="0.25">
      <c r="D696" s="13"/>
    </row>
    <row r="697" spans="4:4" x14ac:dyDescent="0.25">
      <c r="D697" s="13"/>
    </row>
    <row r="698" spans="4:4" x14ac:dyDescent="0.25">
      <c r="D698" s="13"/>
    </row>
    <row r="699" spans="4:4" x14ac:dyDescent="0.25">
      <c r="D699" s="13"/>
    </row>
    <row r="700" spans="4:4" x14ac:dyDescent="0.25">
      <c r="D700" s="13"/>
    </row>
    <row r="701" spans="4:4" x14ac:dyDescent="0.25">
      <c r="D701" s="13"/>
    </row>
    <row r="702" spans="4:4" x14ac:dyDescent="0.25">
      <c r="D702" s="13"/>
    </row>
    <row r="703" spans="4:4" x14ac:dyDescent="0.25">
      <c r="D703" s="13"/>
    </row>
    <row r="704" spans="4:4" x14ac:dyDescent="0.25">
      <c r="D704" s="13"/>
    </row>
    <row r="705" spans="4:4" x14ac:dyDescent="0.25">
      <c r="D705" s="13"/>
    </row>
    <row r="706" spans="4:4" x14ac:dyDescent="0.25">
      <c r="D706" s="13"/>
    </row>
    <row r="707" spans="4:4" x14ac:dyDescent="0.25">
      <c r="D707" s="13"/>
    </row>
    <row r="708" spans="4:4" x14ac:dyDescent="0.25">
      <c r="D708" s="13"/>
    </row>
    <row r="709" spans="4:4" x14ac:dyDescent="0.25">
      <c r="D709" s="13"/>
    </row>
    <row r="710" spans="4:4" x14ac:dyDescent="0.25">
      <c r="D710" s="13"/>
    </row>
    <row r="711" spans="4:4" x14ac:dyDescent="0.25">
      <c r="D711" s="13"/>
    </row>
    <row r="712" spans="4:4" x14ac:dyDescent="0.25">
      <c r="D712" s="13"/>
    </row>
    <row r="713" spans="4:4" x14ac:dyDescent="0.25">
      <c r="D713" s="13"/>
    </row>
    <row r="714" spans="4:4" x14ac:dyDescent="0.25">
      <c r="D714" s="13"/>
    </row>
    <row r="715" spans="4:4" x14ac:dyDescent="0.25">
      <c r="D715" s="13"/>
    </row>
    <row r="716" spans="4:4" x14ac:dyDescent="0.25">
      <c r="D716" s="13"/>
    </row>
    <row r="717" spans="4:4" x14ac:dyDescent="0.25">
      <c r="D717" s="13"/>
    </row>
    <row r="718" spans="4:4" x14ac:dyDescent="0.25">
      <c r="D718" s="13"/>
    </row>
    <row r="719" spans="4:4" x14ac:dyDescent="0.25">
      <c r="D719" s="13"/>
    </row>
    <row r="720" spans="4:4" x14ac:dyDescent="0.25">
      <c r="D720" s="13"/>
    </row>
    <row r="721" spans="4:4" x14ac:dyDescent="0.25">
      <c r="D721" s="13"/>
    </row>
    <row r="722" spans="4:4" x14ac:dyDescent="0.25">
      <c r="D722" s="13"/>
    </row>
    <row r="723" spans="4:4" x14ac:dyDescent="0.25">
      <c r="D723" s="13"/>
    </row>
    <row r="724" spans="4:4" x14ac:dyDescent="0.25">
      <c r="D724" s="13"/>
    </row>
    <row r="725" spans="4:4" x14ac:dyDescent="0.25">
      <c r="D725" s="13"/>
    </row>
    <row r="726" spans="4:4" x14ac:dyDescent="0.25">
      <c r="D726" s="13"/>
    </row>
    <row r="727" spans="4:4" x14ac:dyDescent="0.25">
      <c r="D727" s="13"/>
    </row>
    <row r="728" spans="4:4" x14ac:dyDescent="0.25">
      <c r="D728" s="13"/>
    </row>
    <row r="729" spans="4:4" x14ac:dyDescent="0.25">
      <c r="D729" s="13"/>
    </row>
    <row r="730" spans="4:4" x14ac:dyDescent="0.25">
      <c r="D730" s="13"/>
    </row>
    <row r="731" spans="4:4" x14ac:dyDescent="0.25">
      <c r="D731" s="13"/>
    </row>
    <row r="732" spans="4:4" x14ac:dyDescent="0.25">
      <c r="D732" s="13"/>
    </row>
    <row r="733" spans="4:4" x14ac:dyDescent="0.25">
      <c r="D733" s="13"/>
    </row>
    <row r="734" spans="4:4" x14ac:dyDescent="0.25">
      <c r="D734" s="13"/>
    </row>
    <row r="735" spans="4:4" x14ac:dyDescent="0.25">
      <c r="D735" s="13"/>
    </row>
    <row r="736" spans="4:4" x14ac:dyDescent="0.25">
      <c r="D736" s="13"/>
    </row>
    <row r="737" spans="4:4" x14ac:dyDescent="0.25">
      <c r="D737" s="13"/>
    </row>
    <row r="738" spans="4:4" x14ac:dyDescent="0.25">
      <c r="D738" s="13"/>
    </row>
    <row r="739" spans="4:4" x14ac:dyDescent="0.25">
      <c r="D739" s="13"/>
    </row>
    <row r="740" spans="4:4" x14ac:dyDescent="0.25">
      <c r="D740" s="13"/>
    </row>
    <row r="741" spans="4:4" x14ac:dyDescent="0.25">
      <c r="D741" s="13"/>
    </row>
    <row r="742" spans="4:4" x14ac:dyDescent="0.25">
      <c r="D742" s="13"/>
    </row>
    <row r="743" spans="4:4" x14ac:dyDescent="0.25">
      <c r="D743" s="13"/>
    </row>
    <row r="744" spans="4:4" x14ac:dyDescent="0.25">
      <c r="D744" s="13"/>
    </row>
    <row r="745" spans="4:4" x14ac:dyDescent="0.25">
      <c r="D745" s="13"/>
    </row>
    <row r="746" spans="4:4" x14ac:dyDescent="0.25">
      <c r="D746" s="13"/>
    </row>
    <row r="747" spans="4:4" x14ac:dyDescent="0.25">
      <c r="D747" s="13"/>
    </row>
    <row r="748" spans="4:4" x14ac:dyDescent="0.25">
      <c r="D748" s="13"/>
    </row>
    <row r="749" spans="4:4" x14ac:dyDescent="0.25">
      <c r="D749" s="13"/>
    </row>
    <row r="750" spans="4:4" x14ac:dyDescent="0.25">
      <c r="D750" s="13"/>
    </row>
    <row r="751" spans="4:4" x14ac:dyDescent="0.25">
      <c r="D751" s="13"/>
    </row>
    <row r="752" spans="4:4" x14ac:dyDescent="0.25">
      <c r="D752" s="13"/>
    </row>
    <row r="753" spans="4:4" x14ac:dyDescent="0.25">
      <c r="D753" s="13"/>
    </row>
    <row r="754" spans="4:4" x14ac:dyDescent="0.25">
      <c r="D754" s="13"/>
    </row>
    <row r="755" spans="4:4" x14ac:dyDescent="0.25">
      <c r="D755" s="13"/>
    </row>
    <row r="756" spans="4:4" x14ac:dyDescent="0.25">
      <c r="D756" s="13"/>
    </row>
    <row r="757" spans="4:4" x14ac:dyDescent="0.25">
      <c r="D757" s="13"/>
    </row>
    <row r="758" spans="4:4" x14ac:dyDescent="0.25">
      <c r="D758" s="13"/>
    </row>
    <row r="759" spans="4:4" x14ac:dyDescent="0.25">
      <c r="D759" s="13"/>
    </row>
    <row r="760" spans="4:4" x14ac:dyDescent="0.25">
      <c r="D760" s="13"/>
    </row>
    <row r="761" spans="4:4" x14ac:dyDescent="0.25">
      <c r="D761" s="13"/>
    </row>
    <row r="762" spans="4:4" x14ac:dyDescent="0.25">
      <c r="D762" s="13"/>
    </row>
    <row r="763" spans="4:4" x14ac:dyDescent="0.25">
      <c r="D763" s="13"/>
    </row>
    <row r="764" spans="4:4" x14ac:dyDescent="0.25">
      <c r="D764" s="13"/>
    </row>
    <row r="765" spans="4:4" x14ac:dyDescent="0.25">
      <c r="D765" s="13"/>
    </row>
    <row r="766" spans="4:4" x14ac:dyDescent="0.25">
      <c r="D766" s="13"/>
    </row>
    <row r="767" spans="4:4" x14ac:dyDescent="0.25">
      <c r="D767" s="13"/>
    </row>
    <row r="768" spans="4:4" x14ac:dyDescent="0.25">
      <c r="D768" s="13"/>
    </row>
    <row r="769" spans="4:4" x14ac:dyDescent="0.25">
      <c r="D769" s="13"/>
    </row>
    <row r="770" spans="4:4" x14ac:dyDescent="0.25">
      <c r="D770" s="13"/>
    </row>
    <row r="771" spans="4:4" x14ac:dyDescent="0.25">
      <c r="D771" s="13"/>
    </row>
    <row r="772" spans="4:4" x14ac:dyDescent="0.25">
      <c r="D772" s="13"/>
    </row>
    <row r="773" spans="4:4" x14ac:dyDescent="0.25">
      <c r="D773" s="13"/>
    </row>
    <row r="774" spans="4:4" x14ac:dyDescent="0.25">
      <c r="D774" s="13"/>
    </row>
    <row r="775" spans="4:4" x14ac:dyDescent="0.25">
      <c r="D775" s="13"/>
    </row>
    <row r="776" spans="4:4" x14ac:dyDescent="0.25">
      <c r="D776" s="13"/>
    </row>
    <row r="777" spans="4:4" x14ac:dyDescent="0.25">
      <c r="D777" s="13"/>
    </row>
    <row r="778" spans="4:4" x14ac:dyDescent="0.25">
      <c r="D778" s="13"/>
    </row>
    <row r="779" spans="4:4" x14ac:dyDescent="0.25">
      <c r="D779" s="13"/>
    </row>
    <row r="780" spans="4:4" x14ac:dyDescent="0.25">
      <c r="D780" s="13"/>
    </row>
    <row r="781" spans="4:4" x14ac:dyDescent="0.25">
      <c r="D781" s="13"/>
    </row>
    <row r="782" spans="4:4" x14ac:dyDescent="0.25">
      <c r="D782" s="13"/>
    </row>
    <row r="783" spans="4:4" x14ac:dyDescent="0.25">
      <c r="D783" s="13"/>
    </row>
    <row r="784" spans="4:4" x14ac:dyDescent="0.25">
      <c r="D784" s="13"/>
    </row>
    <row r="785" spans="4:4" x14ac:dyDescent="0.25">
      <c r="D785" s="13"/>
    </row>
    <row r="786" spans="4:4" x14ac:dyDescent="0.25">
      <c r="D786" s="13"/>
    </row>
    <row r="787" spans="4:4" x14ac:dyDescent="0.25">
      <c r="D787" s="13"/>
    </row>
    <row r="788" spans="4:4" x14ac:dyDescent="0.25">
      <c r="D788" s="13"/>
    </row>
    <row r="789" spans="4:4" x14ac:dyDescent="0.25">
      <c r="D789" s="13"/>
    </row>
    <row r="790" spans="4:4" x14ac:dyDescent="0.25">
      <c r="D790" s="13"/>
    </row>
    <row r="791" spans="4:4" x14ac:dyDescent="0.25">
      <c r="D791" s="13"/>
    </row>
    <row r="792" spans="4:4" x14ac:dyDescent="0.25">
      <c r="D792" s="13"/>
    </row>
    <row r="793" spans="4:4" x14ac:dyDescent="0.25">
      <c r="D793" s="13"/>
    </row>
    <row r="794" spans="4:4" x14ac:dyDescent="0.25">
      <c r="D794" s="13"/>
    </row>
    <row r="795" spans="4:4" x14ac:dyDescent="0.25">
      <c r="D795" s="13"/>
    </row>
    <row r="796" spans="4:4" x14ac:dyDescent="0.25">
      <c r="D796" s="13"/>
    </row>
    <row r="797" spans="4:4" x14ac:dyDescent="0.25">
      <c r="D797" s="13"/>
    </row>
    <row r="798" spans="4:4" x14ac:dyDescent="0.25">
      <c r="D798" s="13"/>
    </row>
    <row r="799" spans="4:4" x14ac:dyDescent="0.25">
      <c r="D799" s="13"/>
    </row>
    <row r="800" spans="4:4" x14ac:dyDescent="0.25">
      <c r="D800" s="13"/>
    </row>
    <row r="801" spans="4:4" x14ac:dyDescent="0.25">
      <c r="D801" s="13"/>
    </row>
    <row r="802" spans="4:4" x14ac:dyDescent="0.25">
      <c r="D802" s="13"/>
    </row>
    <row r="803" spans="4:4" x14ac:dyDescent="0.25">
      <c r="D803" s="13"/>
    </row>
    <row r="804" spans="4:4" x14ac:dyDescent="0.25">
      <c r="D804" s="13"/>
    </row>
    <row r="805" spans="4:4" x14ac:dyDescent="0.25">
      <c r="D805" s="13"/>
    </row>
    <row r="806" spans="4:4" x14ac:dyDescent="0.25">
      <c r="D806" s="13"/>
    </row>
    <row r="807" spans="4:4" x14ac:dyDescent="0.25">
      <c r="D807" s="13"/>
    </row>
    <row r="808" spans="4:4" x14ac:dyDescent="0.25">
      <c r="D808" s="13"/>
    </row>
    <row r="809" spans="4:4" x14ac:dyDescent="0.25">
      <c r="D809" s="13"/>
    </row>
    <row r="810" spans="4:4" x14ac:dyDescent="0.25">
      <c r="D810" s="13"/>
    </row>
    <row r="811" spans="4:4" x14ac:dyDescent="0.25">
      <c r="D811" s="13"/>
    </row>
    <row r="812" spans="4:4" x14ac:dyDescent="0.25">
      <c r="D812" s="13"/>
    </row>
    <row r="813" spans="4:4" x14ac:dyDescent="0.25">
      <c r="D813" s="13"/>
    </row>
    <row r="814" spans="4:4" x14ac:dyDescent="0.25">
      <c r="D814" s="13"/>
    </row>
    <row r="815" spans="4:4" x14ac:dyDescent="0.25">
      <c r="D815" s="13"/>
    </row>
    <row r="816" spans="4:4" x14ac:dyDescent="0.25">
      <c r="D816" s="13"/>
    </row>
    <row r="817" spans="4:4" x14ac:dyDescent="0.25">
      <c r="D817" s="13"/>
    </row>
    <row r="818" spans="4:4" x14ac:dyDescent="0.25">
      <c r="D818" s="13"/>
    </row>
    <row r="819" spans="4:4" x14ac:dyDescent="0.25">
      <c r="D819" s="13"/>
    </row>
    <row r="820" spans="4:4" x14ac:dyDescent="0.25">
      <c r="D820" s="13"/>
    </row>
    <row r="821" spans="4:4" x14ac:dyDescent="0.25">
      <c r="D821" s="13"/>
    </row>
    <row r="822" spans="4:4" x14ac:dyDescent="0.25">
      <c r="D822" s="13"/>
    </row>
    <row r="823" spans="4:4" x14ac:dyDescent="0.25">
      <c r="D823" s="13"/>
    </row>
    <row r="824" spans="4:4" x14ac:dyDescent="0.25">
      <c r="D824" s="13"/>
    </row>
    <row r="825" spans="4:4" x14ac:dyDescent="0.25">
      <c r="D825" s="13"/>
    </row>
    <row r="826" spans="4:4" x14ac:dyDescent="0.25">
      <c r="D826" s="13"/>
    </row>
    <row r="827" spans="4:4" x14ac:dyDescent="0.25">
      <c r="D827" s="13"/>
    </row>
    <row r="828" spans="4:4" x14ac:dyDescent="0.25">
      <c r="D828" s="13"/>
    </row>
    <row r="829" spans="4:4" x14ac:dyDescent="0.25">
      <c r="D829" s="13"/>
    </row>
    <row r="830" spans="4:4" x14ac:dyDescent="0.25">
      <c r="D830" s="13"/>
    </row>
    <row r="831" spans="4:4" x14ac:dyDescent="0.25">
      <c r="D831" s="13"/>
    </row>
    <row r="832" spans="4:4" x14ac:dyDescent="0.25">
      <c r="D832" s="13"/>
    </row>
    <row r="833" spans="4:4" x14ac:dyDescent="0.25">
      <c r="D833" s="13"/>
    </row>
    <row r="834" spans="4:4" x14ac:dyDescent="0.25">
      <c r="D834" s="13"/>
    </row>
    <row r="835" spans="4:4" x14ac:dyDescent="0.25">
      <c r="D835" s="13"/>
    </row>
    <row r="836" spans="4:4" x14ac:dyDescent="0.25">
      <c r="D836" s="13"/>
    </row>
    <row r="837" spans="4:4" x14ac:dyDescent="0.25">
      <c r="D837" s="13"/>
    </row>
    <row r="838" spans="4:4" x14ac:dyDescent="0.25">
      <c r="D838" s="13"/>
    </row>
    <row r="839" spans="4:4" x14ac:dyDescent="0.25">
      <c r="D839" s="13"/>
    </row>
    <row r="840" spans="4:4" x14ac:dyDescent="0.25">
      <c r="D840" s="13"/>
    </row>
    <row r="841" spans="4:4" x14ac:dyDescent="0.25">
      <c r="D841" s="13"/>
    </row>
    <row r="842" spans="4:4" x14ac:dyDescent="0.25">
      <c r="D842" s="13"/>
    </row>
    <row r="843" spans="4:4" x14ac:dyDescent="0.25">
      <c r="D843" s="13"/>
    </row>
    <row r="844" spans="4:4" x14ac:dyDescent="0.25">
      <c r="D844" s="13"/>
    </row>
    <row r="845" spans="4:4" x14ac:dyDescent="0.25">
      <c r="D845" s="13"/>
    </row>
    <row r="846" spans="4:4" x14ac:dyDescent="0.25">
      <c r="D846" s="13"/>
    </row>
    <row r="847" spans="4:4" x14ac:dyDescent="0.25">
      <c r="D847" s="13"/>
    </row>
    <row r="848" spans="4:4" x14ac:dyDescent="0.25">
      <c r="D848" s="13"/>
    </row>
    <row r="849" spans="4:4" x14ac:dyDescent="0.25">
      <c r="D849" s="13"/>
    </row>
    <row r="850" spans="4:4" x14ac:dyDescent="0.25">
      <c r="D850" s="13"/>
    </row>
    <row r="851" spans="4:4" x14ac:dyDescent="0.25">
      <c r="D851" s="13"/>
    </row>
    <row r="852" spans="4:4" x14ac:dyDescent="0.25">
      <c r="D852" s="13"/>
    </row>
    <row r="853" spans="4:4" x14ac:dyDescent="0.25">
      <c r="D853" s="13"/>
    </row>
    <row r="854" spans="4:4" x14ac:dyDescent="0.25">
      <c r="D854" s="13"/>
    </row>
    <row r="855" spans="4:4" x14ac:dyDescent="0.25">
      <c r="D855" s="13"/>
    </row>
    <row r="856" spans="4:4" x14ac:dyDescent="0.25">
      <c r="D856" s="13"/>
    </row>
    <row r="857" spans="4:4" x14ac:dyDescent="0.25">
      <c r="D857" s="13"/>
    </row>
    <row r="858" spans="4:4" x14ac:dyDescent="0.25">
      <c r="D858" s="13"/>
    </row>
    <row r="859" spans="4:4" x14ac:dyDescent="0.25">
      <c r="D859" s="13"/>
    </row>
    <row r="860" spans="4:4" x14ac:dyDescent="0.25">
      <c r="D860" s="13"/>
    </row>
    <row r="861" spans="4:4" x14ac:dyDescent="0.25">
      <c r="D861" s="13"/>
    </row>
    <row r="862" spans="4:4" x14ac:dyDescent="0.25">
      <c r="D862" s="13"/>
    </row>
    <row r="863" spans="4:4" x14ac:dyDescent="0.25">
      <c r="D863" s="13"/>
    </row>
    <row r="864" spans="4:4" x14ac:dyDescent="0.25">
      <c r="D864" s="13"/>
    </row>
    <row r="865" spans="4:4" x14ac:dyDescent="0.25">
      <c r="D865" s="13"/>
    </row>
    <row r="866" spans="4:4" x14ac:dyDescent="0.25">
      <c r="D866" s="13"/>
    </row>
    <row r="867" spans="4:4" x14ac:dyDescent="0.25">
      <c r="D867" s="13"/>
    </row>
    <row r="868" spans="4:4" x14ac:dyDescent="0.25">
      <c r="D868" s="13"/>
    </row>
    <row r="869" spans="4:4" x14ac:dyDescent="0.25">
      <c r="D869" s="13"/>
    </row>
    <row r="870" spans="4:4" x14ac:dyDescent="0.25">
      <c r="D870" s="13"/>
    </row>
    <row r="871" spans="4:4" x14ac:dyDescent="0.25">
      <c r="D871" s="13"/>
    </row>
    <row r="872" spans="4:4" x14ac:dyDescent="0.25">
      <c r="D872" s="13"/>
    </row>
    <row r="873" spans="4:4" x14ac:dyDescent="0.25">
      <c r="D873" s="13"/>
    </row>
    <row r="874" spans="4:4" x14ac:dyDescent="0.25">
      <c r="D874" s="13"/>
    </row>
    <row r="875" spans="4:4" x14ac:dyDescent="0.25">
      <c r="D875" s="13"/>
    </row>
    <row r="876" spans="4:4" x14ac:dyDescent="0.25">
      <c r="D876" s="13"/>
    </row>
    <row r="877" spans="4:4" x14ac:dyDescent="0.25">
      <c r="D877" s="13"/>
    </row>
    <row r="878" spans="4:4" x14ac:dyDescent="0.25">
      <c r="D878" s="13"/>
    </row>
    <row r="879" spans="4:4" x14ac:dyDescent="0.25">
      <c r="D879" s="13"/>
    </row>
    <row r="880" spans="4:4" x14ac:dyDescent="0.25">
      <c r="D880" s="13"/>
    </row>
    <row r="881" spans="4:4" x14ac:dyDescent="0.25">
      <c r="D881" s="13"/>
    </row>
    <row r="882" spans="4:4" x14ac:dyDescent="0.25">
      <c r="D882" s="13"/>
    </row>
    <row r="883" spans="4:4" x14ac:dyDescent="0.25">
      <c r="D883" s="13"/>
    </row>
    <row r="884" spans="4:4" x14ac:dyDescent="0.25">
      <c r="D884" s="13"/>
    </row>
    <row r="885" spans="4:4" x14ac:dyDescent="0.25">
      <c r="D885" s="13"/>
    </row>
    <row r="886" spans="4:4" x14ac:dyDescent="0.25">
      <c r="D886" s="13"/>
    </row>
    <row r="887" spans="4:4" x14ac:dyDescent="0.25">
      <c r="D887" s="13"/>
    </row>
    <row r="888" spans="4:4" x14ac:dyDescent="0.25">
      <c r="D888" s="13"/>
    </row>
    <row r="889" spans="4:4" x14ac:dyDescent="0.25">
      <c r="D889" s="13"/>
    </row>
    <row r="890" spans="4:4" x14ac:dyDescent="0.25">
      <c r="D890" s="13"/>
    </row>
    <row r="891" spans="4:4" x14ac:dyDescent="0.25">
      <c r="D891" s="13"/>
    </row>
    <row r="892" spans="4:4" x14ac:dyDescent="0.25">
      <c r="D892" s="13"/>
    </row>
    <row r="893" spans="4:4" x14ac:dyDescent="0.25">
      <c r="D893" s="13"/>
    </row>
    <row r="894" spans="4:4" x14ac:dyDescent="0.25">
      <c r="D894" s="13"/>
    </row>
    <row r="895" spans="4:4" x14ac:dyDescent="0.25">
      <c r="D895" s="13"/>
    </row>
    <row r="896" spans="4:4" x14ac:dyDescent="0.25">
      <c r="D896" s="13"/>
    </row>
    <row r="897" spans="4:4" x14ac:dyDescent="0.25">
      <c r="D897" s="13"/>
    </row>
    <row r="898" spans="4:4" x14ac:dyDescent="0.25">
      <c r="D898" s="13"/>
    </row>
    <row r="899" spans="4:4" x14ac:dyDescent="0.25">
      <c r="D899" s="13"/>
    </row>
    <row r="900" spans="4:4" x14ac:dyDescent="0.25">
      <c r="D900" s="13"/>
    </row>
    <row r="901" spans="4:4" x14ac:dyDescent="0.25">
      <c r="D901" s="13"/>
    </row>
    <row r="902" spans="4:4" x14ac:dyDescent="0.25">
      <c r="D902" s="13"/>
    </row>
    <row r="903" spans="4:4" x14ac:dyDescent="0.25">
      <c r="D903" s="13"/>
    </row>
    <row r="904" spans="4:4" x14ac:dyDescent="0.25">
      <c r="D904" s="13"/>
    </row>
    <row r="905" spans="4:4" x14ac:dyDescent="0.25">
      <c r="D905" s="13"/>
    </row>
    <row r="906" spans="4:4" x14ac:dyDescent="0.25">
      <c r="D906" s="13"/>
    </row>
    <row r="907" spans="4:4" x14ac:dyDescent="0.25">
      <c r="D907" s="13"/>
    </row>
    <row r="908" spans="4:4" x14ac:dyDescent="0.25">
      <c r="D908" s="13"/>
    </row>
    <row r="909" spans="4:4" x14ac:dyDescent="0.25">
      <c r="D909" s="13"/>
    </row>
    <row r="910" spans="4:4" x14ac:dyDescent="0.25">
      <c r="D910" s="13"/>
    </row>
    <row r="911" spans="4:4" x14ac:dyDescent="0.25">
      <c r="D911" s="13"/>
    </row>
    <row r="912" spans="4:4" x14ac:dyDescent="0.25">
      <c r="D912" s="13"/>
    </row>
    <row r="913" spans="4:4" x14ac:dyDescent="0.25">
      <c r="D913" s="13"/>
    </row>
    <row r="914" spans="4:4" x14ac:dyDescent="0.25">
      <c r="D914" s="13"/>
    </row>
    <row r="915" spans="4:4" x14ac:dyDescent="0.25">
      <c r="D915" s="13"/>
    </row>
    <row r="916" spans="4:4" x14ac:dyDescent="0.25">
      <c r="D916" s="13"/>
    </row>
    <row r="917" spans="4:4" x14ac:dyDescent="0.25">
      <c r="D917" s="13"/>
    </row>
    <row r="918" spans="4:4" x14ac:dyDescent="0.25">
      <c r="D918" s="13"/>
    </row>
    <row r="919" spans="4:4" x14ac:dyDescent="0.25">
      <c r="D919" s="13"/>
    </row>
    <row r="920" spans="4:4" x14ac:dyDescent="0.25">
      <c r="D920" s="13"/>
    </row>
    <row r="921" spans="4:4" x14ac:dyDescent="0.25">
      <c r="D921" s="13"/>
    </row>
    <row r="922" spans="4:4" x14ac:dyDescent="0.25">
      <c r="D922" s="13"/>
    </row>
    <row r="923" spans="4:4" x14ac:dyDescent="0.25">
      <c r="D923" s="13"/>
    </row>
    <row r="924" spans="4:4" x14ac:dyDescent="0.25">
      <c r="D924" s="13"/>
    </row>
    <row r="925" spans="4:4" x14ac:dyDescent="0.25">
      <c r="D925" s="13"/>
    </row>
    <row r="926" spans="4:4" x14ac:dyDescent="0.25">
      <c r="D926" s="13"/>
    </row>
    <row r="927" spans="4:4" x14ac:dyDescent="0.25">
      <c r="D927" s="13"/>
    </row>
    <row r="928" spans="4:4" x14ac:dyDescent="0.25">
      <c r="D928" s="13"/>
    </row>
    <row r="929" spans="4:4" x14ac:dyDescent="0.25">
      <c r="D929" s="13"/>
    </row>
    <row r="930" spans="4:4" x14ac:dyDescent="0.25">
      <c r="D930" s="13"/>
    </row>
    <row r="931" spans="4:4" x14ac:dyDescent="0.25">
      <c r="D931" s="13"/>
    </row>
    <row r="932" spans="4:4" x14ac:dyDescent="0.25">
      <c r="D932" s="13"/>
    </row>
    <row r="933" spans="4:4" x14ac:dyDescent="0.25">
      <c r="D933" s="13"/>
    </row>
    <row r="934" spans="4:4" x14ac:dyDescent="0.25">
      <c r="D934" s="13"/>
    </row>
    <row r="935" spans="4:4" x14ac:dyDescent="0.25">
      <c r="D935" s="13"/>
    </row>
    <row r="936" spans="4:4" x14ac:dyDescent="0.25">
      <c r="D936" s="13"/>
    </row>
    <row r="937" spans="4:4" x14ac:dyDescent="0.25">
      <c r="D937" s="13"/>
    </row>
    <row r="938" spans="4:4" x14ac:dyDescent="0.25">
      <c r="D938" s="13"/>
    </row>
    <row r="939" spans="4:4" x14ac:dyDescent="0.25">
      <c r="D939" s="13"/>
    </row>
    <row r="940" spans="4:4" x14ac:dyDescent="0.25">
      <c r="D940" s="13"/>
    </row>
    <row r="941" spans="4:4" x14ac:dyDescent="0.25">
      <c r="D941" s="13"/>
    </row>
    <row r="942" spans="4:4" x14ac:dyDescent="0.25">
      <c r="D942" s="13"/>
    </row>
    <row r="943" spans="4:4" x14ac:dyDescent="0.25">
      <c r="D943" s="13"/>
    </row>
    <row r="944" spans="4:4" x14ac:dyDescent="0.25">
      <c r="D944" s="13"/>
    </row>
    <row r="945" spans="4:4" x14ac:dyDescent="0.25">
      <c r="D945" s="13"/>
    </row>
    <row r="946" spans="4:4" x14ac:dyDescent="0.25">
      <c r="D946" s="13"/>
    </row>
    <row r="947" spans="4:4" x14ac:dyDescent="0.25">
      <c r="D947" s="13"/>
    </row>
    <row r="948" spans="4:4" x14ac:dyDescent="0.25">
      <c r="D948" s="13"/>
    </row>
    <row r="949" spans="4:4" x14ac:dyDescent="0.25">
      <c r="D949" s="13"/>
    </row>
    <row r="950" spans="4:4" x14ac:dyDescent="0.25">
      <c r="D950" s="13"/>
    </row>
    <row r="951" spans="4:4" x14ac:dyDescent="0.25">
      <c r="D951" s="13"/>
    </row>
    <row r="952" spans="4:4" x14ac:dyDescent="0.25">
      <c r="D952" s="13"/>
    </row>
    <row r="953" spans="4:4" x14ac:dyDescent="0.25">
      <c r="D953" s="13"/>
    </row>
    <row r="954" spans="4:4" x14ac:dyDescent="0.25">
      <c r="D954" s="13"/>
    </row>
    <row r="955" spans="4:4" x14ac:dyDescent="0.25">
      <c r="D955" s="13"/>
    </row>
    <row r="956" spans="4:4" x14ac:dyDescent="0.25">
      <c r="D956" s="13"/>
    </row>
    <row r="957" spans="4:4" x14ac:dyDescent="0.25">
      <c r="D957" s="13"/>
    </row>
    <row r="958" spans="4:4" x14ac:dyDescent="0.25">
      <c r="D958" s="13"/>
    </row>
    <row r="959" spans="4:4" x14ac:dyDescent="0.25">
      <c r="D959" s="13"/>
    </row>
    <row r="960" spans="4:4" x14ac:dyDescent="0.25">
      <c r="D960" s="13"/>
    </row>
    <row r="961" spans="4:4" x14ac:dyDescent="0.25">
      <c r="D961" s="13"/>
    </row>
    <row r="962" spans="4:4" x14ac:dyDescent="0.25">
      <c r="D962" s="13"/>
    </row>
    <row r="963" spans="4:4" x14ac:dyDescent="0.25">
      <c r="D963" s="13"/>
    </row>
    <row r="964" spans="4:4" x14ac:dyDescent="0.25">
      <c r="D964" s="13"/>
    </row>
    <row r="965" spans="4:4" x14ac:dyDescent="0.25">
      <c r="D965" s="13"/>
    </row>
    <row r="966" spans="4:4" x14ac:dyDescent="0.25">
      <c r="D966" s="13"/>
    </row>
    <row r="967" spans="4:4" x14ac:dyDescent="0.25">
      <c r="D967" s="13"/>
    </row>
    <row r="968" spans="4:4" x14ac:dyDescent="0.25">
      <c r="D968" s="13"/>
    </row>
    <row r="969" spans="4:4" x14ac:dyDescent="0.25">
      <c r="D969" s="13"/>
    </row>
    <row r="970" spans="4:4" x14ac:dyDescent="0.25">
      <c r="D970" s="13"/>
    </row>
    <row r="971" spans="4:4" x14ac:dyDescent="0.25">
      <c r="D971" s="13"/>
    </row>
    <row r="972" spans="4:4" x14ac:dyDescent="0.25">
      <c r="D972" s="13"/>
    </row>
    <row r="973" spans="4:4" x14ac:dyDescent="0.25">
      <c r="D973" s="13"/>
    </row>
    <row r="974" spans="4:4" x14ac:dyDescent="0.25">
      <c r="D974" s="13"/>
    </row>
    <row r="975" spans="4:4" x14ac:dyDescent="0.25">
      <c r="D975" s="13"/>
    </row>
    <row r="976" spans="4:4" x14ac:dyDescent="0.25">
      <c r="D976" s="13"/>
    </row>
    <row r="977" spans="4:4" x14ac:dyDescent="0.25">
      <c r="D977" s="13"/>
    </row>
    <row r="978" spans="4:4" x14ac:dyDescent="0.25">
      <c r="D978" s="13"/>
    </row>
    <row r="979" spans="4:4" x14ac:dyDescent="0.25">
      <c r="D979" s="13"/>
    </row>
    <row r="980" spans="4:4" x14ac:dyDescent="0.25">
      <c r="D980" s="13"/>
    </row>
    <row r="981" spans="4:4" x14ac:dyDescent="0.25">
      <c r="D981" s="13"/>
    </row>
    <row r="982" spans="4:4" x14ac:dyDescent="0.25">
      <c r="D982" s="13"/>
    </row>
    <row r="983" spans="4:4" x14ac:dyDescent="0.25">
      <c r="D983" s="13"/>
    </row>
    <row r="984" spans="4:4" x14ac:dyDescent="0.25">
      <c r="D984" s="13"/>
    </row>
    <row r="985" spans="4:4" x14ac:dyDescent="0.25">
      <c r="D985" s="13"/>
    </row>
    <row r="986" spans="4:4" x14ac:dyDescent="0.25">
      <c r="D986" s="13"/>
    </row>
    <row r="987" spans="4:4" x14ac:dyDescent="0.25">
      <c r="D987" s="13"/>
    </row>
    <row r="988" spans="4:4" x14ac:dyDescent="0.25">
      <c r="D988" s="13"/>
    </row>
    <row r="989" spans="4:4" x14ac:dyDescent="0.25">
      <c r="D989" s="13"/>
    </row>
    <row r="990" spans="4:4" x14ac:dyDescent="0.25">
      <c r="D990" s="13"/>
    </row>
    <row r="991" spans="4:4" x14ac:dyDescent="0.25">
      <c r="D991" s="13"/>
    </row>
    <row r="992" spans="4:4" x14ac:dyDescent="0.25">
      <c r="D992" s="13"/>
    </row>
    <row r="993" spans="4:4" x14ac:dyDescent="0.25">
      <c r="D993" s="13"/>
    </row>
    <row r="994" spans="4:4" x14ac:dyDescent="0.25">
      <c r="D994" s="13"/>
    </row>
    <row r="995" spans="4:4" x14ac:dyDescent="0.25">
      <c r="D995" s="13"/>
    </row>
    <row r="996" spans="4:4" x14ac:dyDescent="0.25">
      <c r="D996" s="13"/>
    </row>
    <row r="997" spans="4:4" x14ac:dyDescent="0.25">
      <c r="D997" s="13"/>
    </row>
    <row r="998" spans="4:4" x14ac:dyDescent="0.25">
      <c r="D998" s="13"/>
    </row>
    <row r="999" spans="4:4" x14ac:dyDescent="0.25">
      <c r="D999" s="13"/>
    </row>
    <row r="1000" spans="4:4" x14ac:dyDescent="0.25">
      <c r="D1000" s="13"/>
    </row>
    <row r="1001" spans="4:4" x14ac:dyDescent="0.25">
      <c r="D1001" s="13"/>
    </row>
    <row r="1002" spans="4:4" x14ac:dyDescent="0.25">
      <c r="D1002" s="13"/>
    </row>
    <row r="1003" spans="4:4" x14ac:dyDescent="0.25">
      <c r="D1003" s="13"/>
    </row>
    <row r="1004" spans="4:4" x14ac:dyDescent="0.25">
      <c r="D1004" s="13"/>
    </row>
    <row r="1005" spans="4:4" x14ac:dyDescent="0.25">
      <c r="D1005" s="13"/>
    </row>
    <row r="1006" spans="4:4" x14ac:dyDescent="0.25">
      <c r="D1006" s="13"/>
    </row>
    <row r="1007" spans="4:4" x14ac:dyDescent="0.25">
      <c r="D1007" s="13"/>
    </row>
    <row r="1008" spans="4:4" x14ac:dyDescent="0.25">
      <c r="D1008" s="13"/>
    </row>
    <row r="1009" spans="4:4" x14ac:dyDescent="0.25">
      <c r="D1009" s="13"/>
    </row>
    <row r="1010" spans="4:4" x14ac:dyDescent="0.25">
      <c r="D1010" s="13"/>
    </row>
    <row r="1011" spans="4:4" x14ac:dyDescent="0.25">
      <c r="D1011" s="13"/>
    </row>
    <row r="1012" spans="4:4" x14ac:dyDescent="0.25">
      <c r="D1012" s="13"/>
    </row>
    <row r="1013" spans="4:4" x14ac:dyDescent="0.25">
      <c r="D1013" s="13"/>
    </row>
    <row r="1014" spans="4:4" x14ac:dyDescent="0.25">
      <c r="D1014" s="13"/>
    </row>
    <row r="1015" spans="4:4" x14ac:dyDescent="0.25">
      <c r="D1015" s="13"/>
    </row>
    <row r="1016" spans="4:4" x14ac:dyDescent="0.25">
      <c r="D1016" s="13"/>
    </row>
    <row r="1017" spans="4:4" x14ac:dyDescent="0.25">
      <c r="D1017" s="13"/>
    </row>
    <row r="1018" spans="4:4" x14ac:dyDescent="0.25">
      <c r="D1018" s="13"/>
    </row>
    <row r="1019" spans="4:4" x14ac:dyDescent="0.25">
      <c r="D1019" s="13"/>
    </row>
    <row r="1020" spans="4:4" x14ac:dyDescent="0.25">
      <c r="D1020" s="13"/>
    </row>
    <row r="1021" spans="4:4" x14ac:dyDescent="0.25">
      <c r="D1021" s="13"/>
    </row>
    <row r="1022" spans="4:4" x14ac:dyDescent="0.25">
      <c r="D1022" s="13"/>
    </row>
    <row r="1023" spans="4:4" x14ac:dyDescent="0.25">
      <c r="D1023" s="13"/>
    </row>
    <row r="1024" spans="4:4" x14ac:dyDescent="0.25">
      <c r="D1024" s="13"/>
    </row>
    <row r="1025" spans="4:4" x14ac:dyDescent="0.25">
      <c r="D1025" s="13"/>
    </row>
    <row r="1026" spans="4:4" x14ac:dyDescent="0.25">
      <c r="D1026" s="13"/>
    </row>
    <row r="1027" spans="4:4" x14ac:dyDescent="0.25">
      <c r="D1027" s="13"/>
    </row>
    <row r="1028" spans="4:4" x14ac:dyDescent="0.25">
      <c r="D1028" s="13"/>
    </row>
    <row r="1029" spans="4:4" x14ac:dyDescent="0.25">
      <c r="D1029" s="13"/>
    </row>
    <row r="1030" spans="4:4" x14ac:dyDescent="0.25">
      <c r="D1030" s="13"/>
    </row>
    <row r="1031" spans="4:4" x14ac:dyDescent="0.25">
      <c r="D1031" s="13"/>
    </row>
    <row r="1032" spans="4:4" x14ac:dyDescent="0.25">
      <c r="D1032" s="13"/>
    </row>
    <row r="1033" spans="4:4" x14ac:dyDescent="0.25">
      <c r="D1033" s="13"/>
    </row>
    <row r="1034" spans="4:4" x14ac:dyDescent="0.25">
      <c r="D1034" s="13"/>
    </row>
    <row r="1035" spans="4:4" x14ac:dyDescent="0.25">
      <c r="D1035" s="13"/>
    </row>
    <row r="1036" spans="4:4" x14ac:dyDescent="0.25">
      <c r="D1036" s="13"/>
    </row>
    <row r="1037" spans="4:4" x14ac:dyDescent="0.25">
      <c r="D1037" s="13"/>
    </row>
    <row r="1038" spans="4:4" x14ac:dyDescent="0.25">
      <c r="D1038" s="13"/>
    </row>
    <row r="1039" spans="4:4" x14ac:dyDescent="0.25">
      <c r="D1039" s="13"/>
    </row>
    <row r="1040" spans="4:4" x14ac:dyDescent="0.25">
      <c r="D1040" s="13"/>
    </row>
    <row r="1041" spans="4:4" x14ac:dyDescent="0.25">
      <c r="D1041" s="13"/>
    </row>
    <row r="1042" spans="4:4" x14ac:dyDescent="0.25">
      <c r="D1042" s="13"/>
    </row>
    <row r="1043" spans="4:4" x14ac:dyDescent="0.25">
      <c r="D1043" s="13"/>
    </row>
    <row r="1044" spans="4:4" x14ac:dyDescent="0.25">
      <c r="D1044" s="13"/>
    </row>
    <row r="1045" spans="4:4" x14ac:dyDescent="0.25">
      <c r="D1045" s="13"/>
    </row>
    <row r="1046" spans="4:4" x14ac:dyDescent="0.25">
      <c r="D1046" s="13"/>
    </row>
    <row r="1047" spans="4:4" x14ac:dyDescent="0.25">
      <c r="D1047" s="13"/>
    </row>
    <row r="1048" spans="4:4" x14ac:dyDescent="0.25">
      <c r="D1048" s="13"/>
    </row>
    <row r="1049" spans="4:4" x14ac:dyDescent="0.25">
      <c r="D1049" s="13"/>
    </row>
    <row r="1050" spans="4:4" x14ac:dyDescent="0.25">
      <c r="D1050" s="13"/>
    </row>
    <row r="1051" spans="4:4" x14ac:dyDescent="0.25">
      <c r="D1051" s="13"/>
    </row>
    <row r="1052" spans="4:4" x14ac:dyDescent="0.25">
      <c r="D1052" s="13"/>
    </row>
    <row r="1053" spans="4:4" x14ac:dyDescent="0.25">
      <c r="D1053" s="13"/>
    </row>
    <row r="1054" spans="4:4" x14ac:dyDescent="0.25">
      <c r="D1054" s="13"/>
    </row>
    <row r="1055" spans="4:4" x14ac:dyDescent="0.25">
      <c r="D1055" s="13"/>
    </row>
    <row r="1056" spans="4:4" x14ac:dyDescent="0.25">
      <c r="D1056" s="13"/>
    </row>
    <row r="1057" spans="4:4" x14ac:dyDescent="0.25">
      <c r="D1057" s="13"/>
    </row>
    <row r="1058" spans="4:4" x14ac:dyDescent="0.25">
      <c r="D1058" s="13"/>
    </row>
    <row r="1059" spans="4:4" x14ac:dyDescent="0.25">
      <c r="D1059" s="13"/>
    </row>
    <row r="1060" spans="4:4" x14ac:dyDescent="0.25">
      <c r="D1060" s="13"/>
    </row>
    <row r="1061" spans="4:4" x14ac:dyDescent="0.25">
      <c r="D1061" s="13"/>
    </row>
    <row r="1062" spans="4:4" x14ac:dyDescent="0.25">
      <c r="D1062" s="13"/>
    </row>
    <row r="1063" spans="4:4" x14ac:dyDescent="0.25">
      <c r="D1063" s="13"/>
    </row>
    <row r="1064" spans="4:4" x14ac:dyDescent="0.25">
      <c r="D1064" s="13"/>
    </row>
    <row r="1065" spans="4:4" x14ac:dyDescent="0.25">
      <c r="D1065" s="13"/>
    </row>
    <row r="1066" spans="4:4" x14ac:dyDescent="0.25">
      <c r="D1066" s="13"/>
    </row>
    <row r="1067" spans="4:4" x14ac:dyDescent="0.25">
      <c r="D1067" s="13"/>
    </row>
    <row r="1068" spans="4:4" x14ac:dyDescent="0.25">
      <c r="D1068" s="13"/>
    </row>
    <row r="1069" spans="4:4" x14ac:dyDescent="0.25">
      <c r="D1069" s="13"/>
    </row>
    <row r="1070" spans="4:4" x14ac:dyDescent="0.25">
      <c r="D1070" s="13"/>
    </row>
    <row r="1071" spans="4:4" x14ac:dyDescent="0.25">
      <c r="D1071" s="13"/>
    </row>
    <row r="1072" spans="4:4" x14ac:dyDescent="0.25">
      <c r="D1072" s="13"/>
    </row>
    <row r="1073" spans="4:4" x14ac:dyDescent="0.25">
      <c r="D1073" s="13"/>
    </row>
    <row r="1074" spans="4:4" x14ac:dyDescent="0.25">
      <c r="D1074" s="13"/>
    </row>
    <row r="1075" spans="4:4" x14ac:dyDescent="0.25">
      <c r="D1075" s="13"/>
    </row>
    <row r="1076" spans="4:4" x14ac:dyDescent="0.25">
      <c r="D1076" s="13"/>
    </row>
    <row r="1077" spans="4:4" x14ac:dyDescent="0.25">
      <c r="D1077" s="13"/>
    </row>
    <row r="1078" spans="4:4" x14ac:dyDescent="0.25">
      <c r="D1078" s="13"/>
    </row>
    <row r="1079" spans="4:4" x14ac:dyDescent="0.25">
      <c r="D1079" s="13"/>
    </row>
    <row r="1080" spans="4:4" x14ac:dyDescent="0.25">
      <c r="D1080" s="13"/>
    </row>
    <row r="1081" spans="4:4" x14ac:dyDescent="0.25">
      <c r="D1081" s="13"/>
    </row>
    <row r="1082" spans="4:4" x14ac:dyDescent="0.25">
      <c r="D1082" s="13"/>
    </row>
    <row r="1083" spans="4:4" x14ac:dyDescent="0.25">
      <c r="D1083" s="13"/>
    </row>
    <row r="1084" spans="4:4" x14ac:dyDescent="0.25">
      <c r="D1084" s="13"/>
    </row>
    <row r="1085" spans="4:4" x14ac:dyDescent="0.25">
      <c r="D1085" s="13"/>
    </row>
    <row r="1086" spans="4:4" x14ac:dyDescent="0.25">
      <c r="D1086" s="13"/>
    </row>
    <row r="1087" spans="4:4" x14ac:dyDescent="0.25">
      <c r="D1087" s="13"/>
    </row>
    <row r="1088" spans="4:4" x14ac:dyDescent="0.25">
      <c r="D1088" s="13"/>
    </row>
    <row r="1089" spans="4:4" x14ac:dyDescent="0.25">
      <c r="D1089" s="13"/>
    </row>
    <row r="1090" spans="4:4" x14ac:dyDescent="0.25">
      <c r="D1090" s="13"/>
    </row>
    <row r="1091" spans="4:4" x14ac:dyDescent="0.25">
      <c r="D1091" s="13"/>
    </row>
    <row r="1092" spans="4:4" x14ac:dyDescent="0.25">
      <c r="D1092" s="13"/>
    </row>
    <row r="1093" spans="4:4" x14ac:dyDescent="0.25">
      <c r="D1093" s="13"/>
    </row>
    <row r="1094" spans="4:4" x14ac:dyDescent="0.25">
      <c r="D1094" s="13"/>
    </row>
    <row r="1095" spans="4:4" x14ac:dyDescent="0.25">
      <c r="D1095" s="13"/>
    </row>
    <row r="1096" spans="4:4" x14ac:dyDescent="0.25">
      <c r="D1096" s="13"/>
    </row>
    <row r="1097" spans="4:4" x14ac:dyDescent="0.25">
      <c r="D1097" s="13"/>
    </row>
    <row r="1098" spans="4:4" x14ac:dyDescent="0.25">
      <c r="D1098" s="13"/>
    </row>
    <row r="1099" spans="4:4" x14ac:dyDescent="0.25">
      <c r="D1099" s="13"/>
    </row>
    <row r="1100" spans="4:4" x14ac:dyDescent="0.25">
      <c r="D1100" s="13"/>
    </row>
    <row r="1101" spans="4:4" x14ac:dyDescent="0.25">
      <c r="D1101" s="13"/>
    </row>
    <row r="1102" spans="4:4" x14ac:dyDescent="0.25">
      <c r="D1102" s="13"/>
    </row>
    <row r="1103" spans="4:4" x14ac:dyDescent="0.25">
      <c r="D1103" s="13"/>
    </row>
    <row r="1104" spans="4:4" x14ac:dyDescent="0.25">
      <c r="D1104" s="13"/>
    </row>
    <row r="1105" spans="4:4" x14ac:dyDescent="0.25">
      <c r="D1105" s="13"/>
    </row>
    <row r="1106" spans="4:4" x14ac:dyDescent="0.25">
      <c r="D1106" s="13"/>
    </row>
    <row r="1107" spans="4:4" x14ac:dyDescent="0.25">
      <c r="D1107" s="13"/>
    </row>
    <row r="1108" spans="4:4" x14ac:dyDescent="0.25">
      <c r="D1108" s="13"/>
    </row>
    <row r="1109" spans="4:4" x14ac:dyDescent="0.25">
      <c r="D1109" s="13"/>
    </row>
    <row r="1110" spans="4:4" x14ac:dyDescent="0.25">
      <c r="D1110" s="13"/>
    </row>
    <row r="1111" spans="4:4" x14ac:dyDescent="0.25">
      <c r="D1111" s="13"/>
    </row>
    <row r="1112" spans="4:4" x14ac:dyDescent="0.25">
      <c r="D1112" s="13"/>
    </row>
    <row r="1113" spans="4:4" x14ac:dyDescent="0.25">
      <c r="D1113" s="13"/>
    </row>
    <row r="1114" spans="4:4" x14ac:dyDescent="0.25">
      <c r="D1114" s="13"/>
    </row>
    <row r="1115" spans="4:4" x14ac:dyDescent="0.25">
      <c r="D1115" s="13"/>
    </row>
    <row r="1116" spans="4:4" x14ac:dyDescent="0.25">
      <c r="D1116" s="13"/>
    </row>
    <row r="1117" spans="4:4" x14ac:dyDescent="0.25">
      <c r="D1117" s="13"/>
    </row>
    <row r="1118" spans="4:4" x14ac:dyDescent="0.25">
      <c r="D1118" s="13"/>
    </row>
    <row r="1119" spans="4:4" x14ac:dyDescent="0.25">
      <c r="D1119" s="13"/>
    </row>
    <row r="1120" spans="4:4" x14ac:dyDescent="0.25">
      <c r="D1120" s="13"/>
    </row>
    <row r="1121" spans="4:4" x14ac:dyDescent="0.25">
      <c r="D1121" s="13"/>
    </row>
    <row r="1122" spans="4:4" x14ac:dyDescent="0.25">
      <c r="D1122" s="13"/>
    </row>
    <row r="1123" spans="4:4" x14ac:dyDescent="0.25">
      <c r="D1123" s="13"/>
    </row>
    <row r="1124" spans="4:4" x14ac:dyDescent="0.25">
      <c r="D1124" s="13"/>
    </row>
    <row r="1125" spans="4:4" x14ac:dyDescent="0.25">
      <c r="D1125" s="13"/>
    </row>
    <row r="1126" spans="4:4" x14ac:dyDescent="0.25">
      <c r="D1126" s="13"/>
    </row>
    <row r="1127" spans="4:4" x14ac:dyDescent="0.25">
      <c r="D1127" s="13"/>
    </row>
    <row r="1128" spans="4:4" x14ac:dyDescent="0.25">
      <c r="D1128" s="13"/>
    </row>
    <row r="1129" spans="4:4" x14ac:dyDescent="0.25">
      <c r="D1129" s="13"/>
    </row>
    <row r="1130" spans="4:4" x14ac:dyDescent="0.25">
      <c r="D1130" s="13"/>
    </row>
    <row r="1131" spans="4:4" x14ac:dyDescent="0.25">
      <c r="D1131" s="13"/>
    </row>
    <row r="1132" spans="4:4" x14ac:dyDescent="0.25">
      <c r="D1132" s="13"/>
    </row>
    <row r="1133" spans="4:4" x14ac:dyDescent="0.25">
      <c r="D1133" s="13"/>
    </row>
    <row r="1134" spans="4:4" x14ac:dyDescent="0.25">
      <c r="D1134" s="13"/>
    </row>
    <row r="1135" spans="4:4" x14ac:dyDescent="0.25">
      <c r="D1135" s="13"/>
    </row>
    <row r="1136" spans="4:4" x14ac:dyDescent="0.25">
      <c r="D1136" s="13"/>
    </row>
    <row r="1137" spans="4:4" x14ac:dyDescent="0.25">
      <c r="D1137" s="13"/>
    </row>
    <row r="1138" spans="4:4" x14ac:dyDescent="0.25">
      <c r="D1138" s="13"/>
    </row>
    <row r="1139" spans="4:4" x14ac:dyDescent="0.25">
      <c r="D1139" s="13"/>
    </row>
    <row r="1140" spans="4:4" x14ac:dyDescent="0.25">
      <c r="D1140" s="13"/>
    </row>
    <row r="1141" spans="4:4" x14ac:dyDescent="0.25">
      <c r="D1141" s="13"/>
    </row>
    <row r="1142" spans="4:4" x14ac:dyDescent="0.25">
      <c r="D1142" s="13"/>
    </row>
    <row r="1143" spans="4:4" x14ac:dyDescent="0.25">
      <c r="D1143" s="13"/>
    </row>
    <row r="1144" spans="4:4" x14ac:dyDescent="0.25">
      <c r="D1144" s="13"/>
    </row>
    <row r="1145" spans="4:4" x14ac:dyDescent="0.25">
      <c r="D1145" s="13"/>
    </row>
    <row r="1146" spans="4:4" x14ac:dyDescent="0.25">
      <c r="D1146" s="13"/>
    </row>
    <row r="1147" spans="4:4" x14ac:dyDescent="0.25">
      <c r="D1147" s="13"/>
    </row>
    <row r="1148" spans="4:4" x14ac:dyDescent="0.25">
      <c r="D1148" s="13"/>
    </row>
    <row r="1149" spans="4:4" x14ac:dyDescent="0.25">
      <c r="D1149" s="13"/>
    </row>
    <row r="1150" spans="4:4" x14ac:dyDescent="0.25">
      <c r="D1150" s="13"/>
    </row>
    <row r="1151" spans="4:4" x14ac:dyDescent="0.25">
      <c r="D1151" s="13"/>
    </row>
    <row r="1152" spans="4:4" x14ac:dyDescent="0.25">
      <c r="D1152" s="13"/>
    </row>
    <row r="1153" spans="4:4" x14ac:dyDescent="0.25">
      <c r="D1153" s="13"/>
    </row>
    <row r="1154" spans="4:4" x14ac:dyDescent="0.25">
      <c r="D1154" s="13"/>
    </row>
    <row r="1155" spans="4:4" x14ac:dyDescent="0.25">
      <c r="D1155" s="13"/>
    </row>
    <row r="1156" spans="4:4" x14ac:dyDescent="0.25">
      <c r="D1156" s="13"/>
    </row>
    <row r="1157" spans="4:4" x14ac:dyDescent="0.25">
      <c r="D1157" s="13"/>
    </row>
    <row r="1158" spans="4:4" x14ac:dyDescent="0.25">
      <c r="D1158" s="13"/>
    </row>
    <row r="1159" spans="4:4" x14ac:dyDescent="0.25">
      <c r="D1159" s="13"/>
    </row>
    <row r="1160" spans="4:4" x14ac:dyDescent="0.25">
      <c r="D1160" s="13"/>
    </row>
    <row r="1161" spans="4:4" x14ac:dyDescent="0.25">
      <c r="D1161" s="13"/>
    </row>
    <row r="1162" spans="4:4" x14ac:dyDescent="0.25">
      <c r="D1162" s="13"/>
    </row>
    <row r="1163" spans="4:4" x14ac:dyDescent="0.25">
      <c r="D1163" s="13"/>
    </row>
    <row r="1164" spans="4:4" x14ac:dyDescent="0.25">
      <c r="D1164" s="13"/>
    </row>
    <row r="1165" spans="4:4" x14ac:dyDescent="0.25">
      <c r="D1165" s="13"/>
    </row>
    <row r="1166" spans="4:4" x14ac:dyDescent="0.25">
      <c r="D1166" s="13"/>
    </row>
    <row r="1167" spans="4:4" x14ac:dyDescent="0.25">
      <c r="D1167" s="13"/>
    </row>
    <row r="1168" spans="4:4" x14ac:dyDescent="0.25">
      <c r="D1168" s="13"/>
    </row>
    <row r="1169" spans="4:4" x14ac:dyDescent="0.25">
      <c r="D1169" s="13"/>
    </row>
    <row r="1170" spans="4:4" x14ac:dyDescent="0.25">
      <c r="D1170" s="13"/>
    </row>
    <row r="1171" spans="4:4" x14ac:dyDescent="0.25">
      <c r="D1171" s="13"/>
    </row>
    <row r="1172" spans="4:4" x14ac:dyDescent="0.25">
      <c r="D1172" s="13"/>
    </row>
    <row r="1173" spans="4:4" x14ac:dyDescent="0.25">
      <c r="D1173" s="13"/>
    </row>
    <row r="1174" spans="4:4" x14ac:dyDescent="0.25">
      <c r="D1174" s="13"/>
    </row>
    <row r="1175" spans="4:4" x14ac:dyDescent="0.25">
      <c r="D1175" s="13"/>
    </row>
    <row r="1176" spans="4:4" x14ac:dyDescent="0.25">
      <c r="D1176" s="13"/>
    </row>
    <row r="1177" spans="4:4" x14ac:dyDescent="0.25">
      <c r="D1177" s="13"/>
    </row>
    <row r="1178" spans="4:4" x14ac:dyDescent="0.25">
      <c r="D1178" s="13"/>
    </row>
    <row r="1179" spans="4:4" x14ac:dyDescent="0.25">
      <c r="D1179" s="13"/>
    </row>
    <row r="1180" spans="4:4" x14ac:dyDescent="0.25">
      <c r="D1180" s="13"/>
    </row>
    <row r="1181" spans="4:4" x14ac:dyDescent="0.25">
      <c r="D1181" s="13"/>
    </row>
    <row r="1182" spans="4:4" x14ac:dyDescent="0.25">
      <c r="D1182" s="13"/>
    </row>
    <row r="1183" spans="4:4" x14ac:dyDescent="0.25">
      <c r="D1183" s="13"/>
    </row>
    <row r="1184" spans="4:4" x14ac:dyDescent="0.25">
      <c r="D1184" s="13"/>
    </row>
    <row r="1185" spans="4:4" x14ac:dyDescent="0.25">
      <c r="D1185" s="13"/>
    </row>
    <row r="1186" spans="4:4" x14ac:dyDescent="0.25">
      <c r="D1186" s="13"/>
    </row>
    <row r="1187" spans="4:4" x14ac:dyDescent="0.25">
      <c r="D1187" s="13"/>
    </row>
    <row r="1188" spans="4:4" x14ac:dyDescent="0.25">
      <c r="D1188" s="13"/>
    </row>
    <row r="1189" spans="4:4" x14ac:dyDescent="0.25">
      <c r="D1189" s="13"/>
    </row>
    <row r="1190" spans="4:4" x14ac:dyDescent="0.25">
      <c r="D1190" s="13"/>
    </row>
    <row r="1191" spans="4:4" x14ac:dyDescent="0.25">
      <c r="D1191" s="13"/>
    </row>
    <row r="1192" spans="4:4" x14ac:dyDescent="0.25">
      <c r="D1192" s="13"/>
    </row>
    <row r="1193" spans="4:4" x14ac:dyDescent="0.25">
      <c r="D1193" s="13"/>
    </row>
    <row r="1194" spans="4:4" x14ac:dyDescent="0.25">
      <c r="D1194" s="13"/>
    </row>
    <row r="1195" spans="4:4" x14ac:dyDescent="0.25">
      <c r="D1195" s="13"/>
    </row>
    <row r="1196" spans="4:4" x14ac:dyDescent="0.25">
      <c r="D1196" s="13"/>
    </row>
    <row r="1197" spans="4:4" x14ac:dyDescent="0.25">
      <c r="D1197" s="13"/>
    </row>
    <row r="1198" spans="4:4" x14ac:dyDescent="0.25">
      <c r="D1198" s="13"/>
    </row>
    <row r="1199" spans="4:4" x14ac:dyDescent="0.25">
      <c r="D1199" s="13"/>
    </row>
    <row r="1200" spans="4:4" x14ac:dyDescent="0.25">
      <c r="D1200" s="13"/>
    </row>
    <row r="1201" spans="4:4" x14ac:dyDescent="0.25">
      <c r="D1201" s="13"/>
    </row>
    <row r="1202" spans="4:4" x14ac:dyDescent="0.25">
      <c r="D1202" s="13"/>
    </row>
    <row r="1203" spans="4:4" x14ac:dyDescent="0.25">
      <c r="D1203" s="13"/>
    </row>
    <row r="1204" spans="4:4" x14ac:dyDescent="0.25">
      <c r="D1204" s="13"/>
    </row>
    <row r="1205" spans="4:4" x14ac:dyDescent="0.25">
      <c r="D1205" s="13"/>
    </row>
    <row r="1206" spans="4:4" x14ac:dyDescent="0.25">
      <c r="D1206" s="13"/>
    </row>
    <row r="1207" spans="4:4" x14ac:dyDescent="0.25">
      <c r="D1207" s="13"/>
    </row>
    <row r="1208" spans="4:4" x14ac:dyDescent="0.25">
      <c r="D1208" s="13"/>
    </row>
    <row r="1209" spans="4:4" x14ac:dyDescent="0.25">
      <c r="D1209" s="13"/>
    </row>
    <row r="1210" spans="4:4" x14ac:dyDescent="0.25">
      <c r="D1210" s="13"/>
    </row>
    <row r="1211" spans="4:4" x14ac:dyDescent="0.25">
      <c r="D1211" s="13"/>
    </row>
    <row r="1212" spans="4:4" x14ac:dyDescent="0.25">
      <c r="D1212" s="13"/>
    </row>
    <row r="1213" spans="4:4" x14ac:dyDescent="0.25">
      <c r="D1213" s="13"/>
    </row>
    <row r="1214" spans="4:4" x14ac:dyDescent="0.25">
      <c r="D1214" s="13"/>
    </row>
    <row r="1215" spans="4:4" x14ac:dyDescent="0.25">
      <c r="D1215" s="13"/>
    </row>
    <row r="1216" spans="4:4" x14ac:dyDescent="0.25">
      <c r="D1216" s="13"/>
    </row>
    <row r="1217" spans="4:4" x14ac:dyDescent="0.25">
      <c r="D1217" s="13"/>
    </row>
    <row r="1218" spans="4:4" x14ac:dyDescent="0.25">
      <c r="D1218" s="13"/>
    </row>
    <row r="1219" spans="4:4" x14ac:dyDescent="0.25">
      <c r="D1219" s="13"/>
    </row>
    <row r="1220" spans="4:4" x14ac:dyDescent="0.25">
      <c r="D1220" s="13"/>
    </row>
    <row r="1221" spans="4:4" x14ac:dyDescent="0.25">
      <c r="D1221" s="13"/>
    </row>
    <row r="1222" spans="4:4" x14ac:dyDescent="0.25">
      <c r="D1222" s="13"/>
    </row>
    <row r="1223" spans="4:4" x14ac:dyDescent="0.25">
      <c r="D1223" s="13"/>
    </row>
    <row r="1224" spans="4:4" x14ac:dyDescent="0.25">
      <c r="D1224" s="13"/>
    </row>
    <row r="1225" spans="4:4" x14ac:dyDescent="0.25">
      <c r="D1225" s="13"/>
    </row>
    <row r="1226" spans="4:4" x14ac:dyDescent="0.25">
      <c r="D1226" s="13"/>
    </row>
    <row r="1227" spans="4:4" x14ac:dyDescent="0.25">
      <c r="D1227" s="13"/>
    </row>
    <row r="1228" spans="4:4" x14ac:dyDescent="0.25">
      <c r="D1228" s="13"/>
    </row>
    <row r="1229" spans="4:4" x14ac:dyDescent="0.25">
      <c r="D1229" s="13"/>
    </row>
    <row r="1230" spans="4:4" x14ac:dyDescent="0.25">
      <c r="D1230" s="13"/>
    </row>
    <row r="1231" spans="4:4" x14ac:dyDescent="0.25">
      <c r="D1231" s="13"/>
    </row>
    <row r="1232" spans="4:4" x14ac:dyDescent="0.25">
      <c r="D1232" s="13"/>
    </row>
    <row r="1233" spans="4:4" x14ac:dyDescent="0.25">
      <c r="D1233" s="13"/>
    </row>
    <row r="1234" spans="4:4" x14ac:dyDescent="0.25">
      <c r="D1234" s="13"/>
    </row>
    <row r="1235" spans="4:4" x14ac:dyDescent="0.25">
      <c r="D1235" s="13"/>
    </row>
    <row r="1236" spans="4:4" x14ac:dyDescent="0.25">
      <c r="D1236" s="13"/>
    </row>
    <row r="1237" spans="4:4" x14ac:dyDescent="0.25">
      <c r="D1237" s="13"/>
    </row>
    <row r="1238" spans="4:4" x14ac:dyDescent="0.25">
      <c r="D1238" s="13"/>
    </row>
    <row r="1239" spans="4:4" x14ac:dyDescent="0.25">
      <c r="D1239" s="13"/>
    </row>
    <row r="1240" spans="4:4" x14ac:dyDescent="0.25">
      <c r="D1240" s="13"/>
    </row>
    <row r="1241" spans="4:4" x14ac:dyDescent="0.25">
      <c r="D1241" s="13"/>
    </row>
    <row r="1242" spans="4:4" x14ac:dyDescent="0.25">
      <c r="D1242" s="13"/>
    </row>
    <row r="1243" spans="4:4" x14ac:dyDescent="0.25">
      <c r="D1243" s="13"/>
    </row>
    <row r="1244" spans="4:4" x14ac:dyDescent="0.25">
      <c r="D1244" s="13"/>
    </row>
    <row r="1245" spans="4:4" x14ac:dyDescent="0.25">
      <c r="D1245" s="13"/>
    </row>
    <row r="1246" spans="4:4" x14ac:dyDescent="0.25">
      <c r="D1246" s="13"/>
    </row>
    <row r="1247" spans="4:4" x14ac:dyDescent="0.25">
      <c r="D1247" s="13"/>
    </row>
    <row r="1248" spans="4:4" x14ac:dyDescent="0.25">
      <c r="D1248" s="13"/>
    </row>
    <row r="1249" spans="4:4" x14ac:dyDescent="0.25">
      <c r="D1249" s="13"/>
    </row>
    <row r="1250" spans="4:4" x14ac:dyDescent="0.25">
      <c r="D1250" s="13"/>
    </row>
    <row r="1251" spans="4:4" x14ac:dyDescent="0.25">
      <c r="D1251" s="13"/>
    </row>
    <row r="1252" spans="4:4" x14ac:dyDescent="0.25">
      <c r="D1252" s="13"/>
    </row>
    <row r="1253" spans="4:4" x14ac:dyDescent="0.25">
      <c r="D1253" s="13"/>
    </row>
    <row r="1254" spans="4:4" x14ac:dyDescent="0.25">
      <c r="D1254" s="13"/>
    </row>
    <row r="1255" spans="4:4" x14ac:dyDescent="0.25">
      <c r="D1255" s="13"/>
    </row>
    <row r="1256" spans="4:4" x14ac:dyDescent="0.25">
      <c r="D1256" s="13"/>
    </row>
    <row r="1257" spans="4:4" x14ac:dyDescent="0.25">
      <c r="D1257" s="13"/>
    </row>
    <row r="1258" spans="4:4" x14ac:dyDescent="0.25">
      <c r="D1258" s="13"/>
    </row>
    <row r="1259" spans="4:4" x14ac:dyDescent="0.25">
      <c r="D1259" s="13"/>
    </row>
    <row r="1260" spans="4:4" x14ac:dyDescent="0.25">
      <c r="D1260" s="13"/>
    </row>
    <row r="1261" spans="4:4" x14ac:dyDescent="0.25">
      <c r="D1261" s="13"/>
    </row>
    <row r="1262" spans="4:4" x14ac:dyDescent="0.25">
      <c r="D1262" s="13"/>
    </row>
    <row r="1263" spans="4:4" x14ac:dyDescent="0.25">
      <c r="D1263" s="13"/>
    </row>
    <row r="1264" spans="4:4" x14ac:dyDescent="0.25">
      <c r="D1264" s="13"/>
    </row>
    <row r="1265" spans="4:4" x14ac:dyDescent="0.25">
      <c r="D1265" s="13"/>
    </row>
    <row r="1266" spans="4:4" x14ac:dyDescent="0.25">
      <c r="D1266" s="13"/>
    </row>
    <row r="1267" spans="4:4" x14ac:dyDescent="0.25">
      <c r="D1267" s="13"/>
    </row>
    <row r="1268" spans="4:4" x14ac:dyDescent="0.25">
      <c r="D1268" s="13"/>
    </row>
    <row r="1269" spans="4:4" x14ac:dyDescent="0.25">
      <c r="D1269" s="13"/>
    </row>
    <row r="1270" spans="4:4" x14ac:dyDescent="0.25">
      <c r="D1270" s="13"/>
    </row>
    <row r="1271" spans="4:4" x14ac:dyDescent="0.25">
      <c r="D1271" s="13"/>
    </row>
    <row r="1272" spans="4:4" x14ac:dyDescent="0.25">
      <c r="D1272" s="13"/>
    </row>
    <row r="1273" spans="4:4" x14ac:dyDescent="0.25">
      <c r="D1273" s="13"/>
    </row>
    <row r="1274" spans="4:4" x14ac:dyDescent="0.25">
      <c r="D1274" s="13"/>
    </row>
    <row r="1275" spans="4:4" x14ac:dyDescent="0.25">
      <c r="D1275" s="13"/>
    </row>
    <row r="1276" spans="4:4" x14ac:dyDescent="0.25">
      <c r="D1276" s="13"/>
    </row>
    <row r="1277" spans="4:4" x14ac:dyDescent="0.25">
      <c r="D1277" s="13"/>
    </row>
    <row r="1278" spans="4:4" x14ac:dyDescent="0.25">
      <c r="D1278" s="13"/>
    </row>
    <row r="1279" spans="4:4" x14ac:dyDescent="0.25">
      <c r="D1279" s="13"/>
    </row>
    <row r="1280" spans="4:4" x14ac:dyDescent="0.25">
      <c r="D1280" s="13"/>
    </row>
    <row r="1281" spans="4:4" x14ac:dyDescent="0.25">
      <c r="D1281" s="13"/>
    </row>
    <row r="1282" spans="4:4" x14ac:dyDescent="0.25">
      <c r="D1282" s="13"/>
    </row>
    <row r="1283" spans="4:4" x14ac:dyDescent="0.25">
      <c r="D1283" s="13"/>
    </row>
    <row r="1284" spans="4:4" x14ac:dyDescent="0.25">
      <c r="D1284" s="13"/>
    </row>
    <row r="1285" spans="4:4" x14ac:dyDescent="0.25">
      <c r="D1285" s="13"/>
    </row>
    <row r="1286" spans="4:4" x14ac:dyDescent="0.25">
      <c r="D1286" s="13"/>
    </row>
    <row r="1287" spans="4:4" x14ac:dyDescent="0.25">
      <c r="D1287" s="13"/>
    </row>
    <row r="1288" spans="4:4" x14ac:dyDescent="0.25">
      <c r="D1288" s="13"/>
    </row>
    <row r="1289" spans="4:4" x14ac:dyDescent="0.25">
      <c r="D1289" s="13"/>
    </row>
    <row r="1290" spans="4:4" x14ac:dyDescent="0.25">
      <c r="D1290" s="13"/>
    </row>
    <row r="1291" spans="4:4" x14ac:dyDescent="0.25">
      <c r="D1291" s="13"/>
    </row>
    <row r="1292" spans="4:4" x14ac:dyDescent="0.25">
      <c r="D1292" s="13"/>
    </row>
    <row r="1293" spans="4:4" x14ac:dyDescent="0.25">
      <c r="D1293" s="13"/>
    </row>
    <row r="1294" spans="4:4" x14ac:dyDescent="0.25">
      <c r="D1294" s="13"/>
    </row>
    <row r="1295" spans="4:4" x14ac:dyDescent="0.25">
      <c r="D1295" s="13"/>
    </row>
    <row r="1296" spans="4:4" x14ac:dyDescent="0.25">
      <c r="D1296" s="13"/>
    </row>
    <row r="1297" spans="4:4" x14ac:dyDescent="0.25">
      <c r="D1297" s="13"/>
    </row>
    <row r="1298" spans="4:4" x14ac:dyDescent="0.25">
      <c r="D1298" s="13"/>
    </row>
    <row r="1299" spans="4:4" x14ac:dyDescent="0.25">
      <c r="D1299" s="13"/>
    </row>
    <row r="1300" spans="4:4" x14ac:dyDescent="0.25">
      <c r="D1300" s="13"/>
    </row>
    <row r="1301" spans="4:4" x14ac:dyDescent="0.25">
      <c r="D1301" s="13"/>
    </row>
    <row r="1302" spans="4:4" x14ac:dyDescent="0.25">
      <c r="D1302" s="13"/>
    </row>
    <row r="1303" spans="4:4" x14ac:dyDescent="0.25">
      <c r="D1303" s="13"/>
    </row>
    <row r="1304" spans="4:4" x14ac:dyDescent="0.25">
      <c r="D1304" s="13"/>
    </row>
    <row r="1305" spans="4:4" x14ac:dyDescent="0.25">
      <c r="D1305" s="13"/>
    </row>
    <row r="1306" spans="4:4" x14ac:dyDescent="0.25">
      <c r="D1306" s="13"/>
    </row>
    <row r="1307" spans="4:4" x14ac:dyDescent="0.25">
      <c r="D1307" s="13"/>
    </row>
    <row r="1308" spans="4:4" x14ac:dyDescent="0.25">
      <c r="D1308" s="13"/>
    </row>
    <row r="1309" spans="4:4" x14ac:dyDescent="0.25">
      <c r="D1309" s="13"/>
    </row>
    <row r="1310" spans="4:4" x14ac:dyDescent="0.25">
      <c r="D1310" s="13"/>
    </row>
    <row r="1311" spans="4:4" x14ac:dyDescent="0.25">
      <c r="D1311" s="13"/>
    </row>
    <row r="1312" spans="4:4" x14ac:dyDescent="0.25">
      <c r="D1312" s="13"/>
    </row>
    <row r="1313" spans="4:4" x14ac:dyDescent="0.25">
      <c r="D1313" s="13"/>
    </row>
    <row r="1314" spans="4:4" x14ac:dyDescent="0.25">
      <c r="D1314" s="13"/>
    </row>
    <row r="1315" spans="4:4" x14ac:dyDescent="0.25">
      <c r="D1315" s="13"/>
    </row>
    <row r="1316" spans="4:4" x14ac:dyDescent="0.25">
      <c r="D1316" s="13"/>
    </row>
    <row r="1317" spans="4:4" x14ac:dyDescent="0.25">
      <c r="D1317" s="13"/>
    </row>
    <row r="1318" spans="4:4" x14ac:dyDescent="0.25">
      <c r="D1318" s="13"/>
    </row>
    <row r="1319" spans="4:4" x14ac:dyDescent="0.25">
      <c r="D1319" s="13"/>
    </row>
    <row r="1320" spans="4:4" x14ac:dyDescent="0.25">
      <c r="D1320" s="13"/>
    </row>
    <row r="1321" spans="4:4" x14ac:dyDescent="0.25">
      <c r="D1321" s="13"/>
    </row>
    <row r="1322" spans="4:4" x14ac:dyDescent="0.25">
      <c r="D1322" s="13"/>
    </row>
    <row r="1323" spans="4:4" x14ac:dyDescent="0.25">
      <c r="D1323" s="13"/>
    </row>
    <row r="1324" spans="4:4" x14ac:dyDescent="0.25">
      <c r="D1324" s="13"/>
    </row>
    <row r="1325" spans="4:4" x14ac:dyDescent="0.25">
      <c r="D1325" s="13"/>
    </row>
    <row r="1326" spans="4:4" x14ac:dyDescent="0.25">
      <c r="D1326" s="13"/>
    </row>
    <row r="1327" spans="4:4" x14ac:dyDescent="0.25">
      <c r="D1327" s="13"/>
    </row>
    <row r="1328" spans="4:4" x14ac:dyDescent="0.25">
      <c r="D1328" s="13"/>
    </row>
    <row r="1329" spans="4:4" x14ac:dyDescent="0.25">
      <c r="D1329" s="13"/>
    </row>
    <row r="1330" spans="4:4" x14ac:dyDescent="0.25">
      <c r="D1330" s="13"/>
    </row>
    <row r="1331" spans="4:4" x14ac:dyDescent="0.25">
      <c r="D1331" s="13"/>
    </row>
    <row r="1332" spans="4:4" x14ac:dyDescent="0.25">
      <c r="D1332" s="13"/>
    </row>
    <row r="1333" spans="4:4" x14ac:dyDescent="0.25">
      <c r="D1333" s="13"/>
    </row>
    <row r="1334" spans="4:4" x14ac:dyDescent="0.25">
      <c r="D1334" s="13"/>
    </row>
    <row r="1335" spans="4:4" x14ac:dyDescent="0.25">
      <c r="D1335" s="13"/>
    </row>
    <row r="1336" spans="4:4" x14ac:dyDescent="0.25">
      <c r="D1336" s="13"/>
    </row>
    <row r="1337" spans="4:4" x14ac:dyDescent="0.25">
      <c r="D1337" s="13"/>
    </row>
    <row r="1338" spans="4:4" x14ac:dyDescent="0.25">
      <c r="D1338" s="13"/>
    </row>
    <row r="1339" spans="4:4" x14ac:dyDescent="0.25">
      <c r="D1339" s="13"/>
    </row>
    <row r="1340" spans="4:4" x14ac:dyDescent="0.25">
      <c r="D1340" s="13"/>
    </row>
    <row r="1341" spans="4:4" x14ac:dyDescent="0.25">
      <c r="D1341" s="13"/>
    </row>
    <row r="1342" spans="4:4" x14ac:dyDescent="0.25">
      <c r="D1342" s="13"/>
    </row>
    <row r="1343" spans="4:4" x14ac:dyDescent="0.25">
      <c r="D1343" s="13"/>
    </row>
    <row r="1344" spans="4:4" x14ac:dyDescent="0.25">
      <c r="D1344" s="13"/>
    </row>
    <row r="1345" spans="4:4" x14ac:dyDescent="0.25">
      <c r="D1345" s="13"/>
    </row>
    <row r="1346" spans="4:4" x14ac:dyDescent="0.25">
      <c r="D1346" s="13"/>
    </row>
    <row r="1347" spans="4:4" x14ac:dyDescent="0.25">
      <c r="D1347" s="13"/>
    </row>
    <row r="1348" spans="4:4" x14ac:dyDescent="0.25">
      <c r="D1348" s="13"/>
    </row>
    <row r="1349" spans="4:4" x14ac:dyDescent="0.25">
      <c r="D1349" s="13"/>
    </row>
    <row r="1350" spans="4:4" x14ac:dyDescent="0.25">
      <c r="D1350" s="13"/>
    </row>
    <row r="1351" spans="4:4" x14ac:dyDescent="0.25">
      <c r="D1351" s="13"/>
    </row>
    <row r="1352" spans="4:4" x14ac:dyDescent="0.25">
      <c r="D1352" s="13"/>
    </row>
    <row r="1353" spans="4:4" x14ac:dyDescent="0.25">
      <c r="D1353" s="13"/>
    </row>
    <row r="1354" spans="4:4" x14ac:dyDescent="0.25">
      <c r="D1354" s="13"/>
    </row>
    <row r="1355" spans="4:4" x14ac:dyDescent="0.25">
      <c r="D1355" s="13"/>
    </row>
    <row r="1356" spans="4:4" x14ac:dyDescent="0.25">
      <c r="D1356" s="13"/>
    </row>
    <row r="1357" spans="4:4" x14ac:dyDescent="0.25">
      <c r="D1357" s="13"/>
    </row>
    <row r="1358" spans="4:4" x14ac:dyDescent="0.25">
      <c r="D1358" s="13"/>
    </row>
    <row r="1359" spans="4:4" x14ac:dyDescent="0.25">
      <c r="D1359" s="13"/>
    </row>
    <row r="1360" spans="4:4" x14ac:dyDescent="0.25">
      <c r="D1360" s="13"/>
    </row>
    <row r="1361" spans="4:4" x14ac:dyDescent="0.25">
      <c r="D1361" s="13"/>
    </row>
    <row r="1362" spans="4:4" x14ac:dyDescent="0.25">
      <c r="D1362" s="13"/>
    </row>
    <row r="1363" spans="4:4" x14ac:dyDescent="0.25">
      <c r="D1363" s="13"/>
    </row>
    <row r="1364" spans="4:4" x14ac:dyDescent="0.25">
      <c r="D1364" s="13"/>
    </row>
    <row r="1365" spans="4:4" x14ac:dyDescent="0.25">
      <c r="D1365" s="13"/>
    </row>
    <row r="1366" spans="4:4" x14ac:dyDescent="0.25">
      <c r="D1366" s="13"/>
    </row>
    <row r="1367" spans="4:4" x14ac:dyDescent="0.25">
      <c r="D1367" s="13"/>
    </row>
    <row r="1368" spans="4:4" x14ac:dyDescent="0.25">
      <c r="D1368" s="13"/>
    </row>
    <row r="1369" spans="4:4" x14ac:dyDescent="0.25">
      <c r="D1369" s="13"/>
    </row>
    <row r="1370" spans="4:4" x14ac:dyDescent="0.25">
      <c r="D1370" s="13"/>
    </row>
    <row r="1371" spans="4:4" x14ac:dyDescent="0.25">
      <c r="D1371" s="13"/>
    </row>
    <row r="1372" spans="4:4" x14ac:dyDescent="0.25">
      <c r="D1372" s="13"/>
    </row>
    <row r="1373" spans="4:4" x14ac:dyDescent="0.25">
      <c r="D1373" s="13"/>
    </row>
    <row r="1374" spans="4:4" x14ac:dyDescent="0.25">
      <c r="D1374" s="13"/>
    </row>
    <row r="1375" spans="4:4" x14ac:dyDescent="0.25">
      <c r="D1375" s="13"/>
    </row>
    <row r="1376" spans="4:4" x14ac:dyDescent="0.25">
      <c r="D1376" s="13"/>
    </row>
    <row r="1377" spans="4:4" x14ac:dyDescent="0.25">
      <c r="D1377" s="13"/>
    </row>
    <row r="1378" spans="4:4" x14ac:dyDescent="0.25">
      <c r="D1378" s="13"/>
    </row>
    <row r="1379" spans="4:4" x14ac:dyDescent="0.25">
      <c r="D1379" s="13"/>
    </row>
    <row r="1380" spans="4:4" x14ac:dyDescent="0.25">
      <c r="D1380" s="13"/>
    </row>
    <row r="1381" spans="4:4" x14ac:dyDescent="0.25">
      <c r="D1381" s="13"/>
    </row>
    <row r="1382" spans="4:4" x14ac:dyDescent="0.25">
      <c r="D1382" s="13"/>
    </row>
    <row r="1383" spans="4:4" x14ac:dyDescent="0.25">
      <c r="D1383" s="13"/>
    </row>
    <row r="1384" spans="4:4" x14ac:dyDescent="0.25">
      <c r="D1384" s="13"/>
    </row>
    <row r="1385" spans="4:4" x14ac:dyDescent="0.25">
      <c r="D1385" s="13"/>
    </row>
    <row r="1386" spans="4:4" x14ac:dyDescent="0.25">
      <c r="D1386" s="13"/>
    </row>
    <row r="1387" spans="4:4" x14ac:dyDescent="0.25">
      <c r="D1387" s="13"/>
    </row>
    <row r="1388" spans="4:4" x14ac:dyDescent="0.25">
      <c r="D1388" s="13"/>
    </row>
    <row r="1389" spans="4:4" x14ac:dyDescent="0.25">
      <c r="D1389" s="13"/>
    </row>
    <row r="1390" spans="4:4" x14ac:dyDescent="0.25">
      <c r="D1390" s="13"/>
    </row>
    <row r="1391" spans="4:4" x14ac:dyDescent="0.25">
      <c r="D1391" s="13"/>
    </row>
    <row r="1392" spans="4:4" x14ac:dyDescent="0.25">
      <c r="D1392" s="13"/>
    </row>
    <row r="1393" spans="4:4" x14ac:dyDescent="0.25">
      <c r="D1393" s="13"/>
    </row>
    <row r="1394" spans="4:4" x14ac:dyDescent="0.25">
      <c r="D1394" s="13"/>
    </row>
    <row r="1395" spans="4:4" x14ac:dyDescent="0.25">
      <c r="D1395" s="13"/>
    </row>
    <row r="1396" spans="4:4" x14ac:dyDescent="0.25">
      <c r="D1396" s="13"/>
    </row>
    <row r="1397" spans="4:4" x14ac:dyDescent="0.25">
      <c r="D1397" s="13"/>
    </row>
    <row r="1398" spans="4:4" x14ac:dyDescent="0.25">
      <c r="D1398" s="13"/>
    </row>
    <row r="1399" spans="4:4" x14ac:dyDescent="0.25">
      <c r="D1399" s="13"/>
    </row>
    <row r="1400" spans="4:4" x14ac:dyDescent="0.25">
      <c r="D1400" s="13"/>
    </row>
    <row r="1401" spans="4:4" x14ac:dyDescent="0.25">
      <c r="D1401" s="13"/>
    </row>
    <row r="1402" spans="4:4" x14ac:dyDescent="0.25">
      <c r="D1402" s="13"/>
    </row>
    <row r="1403" spans="4:4" x14ac:dyDescent="0.25">
      <c r="D1403" s="13"/>
    </row>
    <row r="1404" spans="4:4" x14ac:dyDescent="0.25">
      <c r="D1404" s="13"/>
    </row>
    <row r="1405" spans="4:4" x14ac:dyDescent="0.25">
      <c r="D1405" s="13"/>
    </row>
    <row r="1406" spans="4:4" x14ac:dyDescent="0.25">
      <c r="D1406" s="13"/>
    </row>
    <row r="1407" spans="4:4" x14ac:dyDescent="0.25">
      <c r="D1407" s="13"/>
    </row>
    <row r="1408" spans="4:4" x14ac:dyDescent="0.25">
      <c r="D1408" s="13"/>
    </row>
    <row r="1409" spans="4:4" x14ac:dyDescent="0.25">
      <c r="D1409" s="13"/>
    </row>
    <row r="1410" spans="4:4" x14ac:dyDescent="0.25">
      <c r="D1410" s="13"/>
    </row>
    <row r="1411" spans="4:4" x14ac:dyDescent="0.25">
      <c r="D1411" s="13"/>
    </row>
    <row r="1412" spans="4:4" x14ac:dyDescent="0.25">
      <c r="D1412" s="13"/>
    </row>
    <row r="1413" spans="4:4" x14ac:dyDescent="0.25">
      <c r="D1413" s="13"/>
    </row>
    <row r="1414" spans="4:4" x14ac:dyDescent="0.25">
      <c r="D1414" s="13"/>
    </row>
    <row r="1415" spans="4:4" x14ac:dyDescent="0.25">
      <c r="D1415" s="13"/>
    </row>
    <row r="1416" spans="4:4" x14ac:dyDescent="0.25">
      <c r="D1416" s="13"/>
    </row>
    <row r="1417" spans="4:4" x14ac:dyDescent="0.25">
      <c r="D1417" s="13"/>
    </row>
    <row r="1418" spans="4:4" x14ac:dyDescent="0.25">
      <c r="D1418" s="13"/>
    </row>
    <row r="1419" spans="4:4" x14ac:dyDescent="0.25">
      <c r="D1419" s="13"/>
    </row>
    <row r="1420" spans="4:4" x14ac:dyDescent="0.25">
      <c r="D1420" s="13"/>
    </row>
    <row r="1421" spans="4:4" x14ac:dyDescent="0.25">
      <c r="D1421" s="13"/>
    </row>
    <row r="1422" spans="4:4" x14ac:dyDescent="0.25">
      <c r="D1422" s="13"/>
    </row>
    <row r="1423" spans="4:4" x14ac:dyDescent="0.25">
      <c r="D1423" s="13"/>
    </row>
    <row r="1424" spans="4:4" x14ac:dyDescent="0.25">
      <c r="D1424" s="13"/>
    </row>
    <row r="1425" spans="4:4" x14ac:dyDescent="0.25">
      <c r="D1425" s="13"/>
    </row>
    <row r="1426" spans="4:4" x14ac:dyDescent="0.25">
      <c r="D1426" s="13"/>
    </row>
    <row r="1427" spans="4:4" x14ac:dyDescent="0.25">
      <c r="D1427" s="13"/>
    </row>
    <row r="1428" spans="4:4" x14ac:dyDescent="0.25">
      <c r="D1428" s="13"/>
    </row>
    <row r="1429" spans="4:4" x14ac:dyDescent="0.25">
      <c r="D1429" s="13"/>
    </row>
    <row r="1430" spans="4:4" x14ac:dyDescent="0.25">
      <c r="D1430" s="13"/>
    </row>
    <row r="1431" spans="4:4" x14ac:dyDescent="0.25">
      <c r="D1431" s="13"/>
    </row>
    <row r="1432" spans="4:4" x14ac:dyDescent="0.25">
      <c r="D1432" s="13"/>
    </row>
    <row r="1433" spans="4:4" x14ac:dyDescent="0.25">
      <c r="D1433" s="13"/>
    </row>
    <row r="1434" spans="4:4" x14ac:dyDescent="0.25">
      <c r="D1434" s="13"/>
    </row>
    <row r="1435" spans="4:4" x14ac:dyDescent="0.25">
      <c r="D1435" s="13"/>
    </row>
    <row r="1436" spans="4:4" x14ac:dyDescent="0.25">
      <c r="D1436" s="13"/>
    </row>
    <row r="1437" spans="4:4" x14ac:dyDescent="0.25">
      <c r="D1437" s="13"/>
    </row>
    <row r="1438" spans="4:4" x14ac:dyDescent="0.25">
      <c r="D1438" s="13"/>
    </row>
    <row r="1439" spans="4:4" x14ac:dyDescent="0.25">
      <c r="D1439" s="13"/>
    </row>
    <row r="1440" spans="4:4" x14ac:dyDescent="0.25">
      <c r="D1440" s="13"/>
    </row>
    <row r="1441" spans="4:4" x14ac:dyDescent="0.25">
      <c r="D1441" s="13"/>
    </row>
    <row r="1442" spans="4:4" x14ac:dyDescent="0.25">
      <c r="D1442" s="13"/>
    </row>
    <row r="1443" spans="4:4" x14ac:dyDescent="0.25">
      <c r="D1443" s="13"/>
    </row>
    <row r="1444" spans="4:4" x14ac:dyDescent="0.25">
      <c r="D1444" s="13"/>
    </row>
    <row r="1445" spans="4:4" x14ac:dyDescent="0.25">
      <c r="D1445" s="13"/>
    </row>
    <row r="1446" spans="4:4" x14ac:dyDescent="0.25">
      <c r="D1446" s="13"/>
    </row>
    <row r="1447" spans="4:4" x14ac:dyDescent="0.25">
      <c r="D1447" s="13"/>
    </row>
    <row r="1448" spans="4:4" x14ac:dyDescent="0.25">
      <c r="D1448" s="13"/>
    </row>
    <row r="1449" spans="4:4" x14ac:dyDescent="0.25">
      <c r="D1449" s="13"/>
    </row>
    <row r="1450" spans="4:4" x14ac:dyDescent="0.25">
      <c r="D1450" s="13"/>
    </row>
    <row r="1451" spans="4:4" x14ac:dyDescent="0.25">
      <c r="D1451" s="13"/>
    </row>
    <row r="1452" spans="4:4" x14ac:dyDescent="0.25">
      <c r="D1452" s="13"/>
    </row>
    <row r="1453" spans="4:4" x14ac:dyDescent="0.25">
      <c r="D1453" s="13"/>
    </row>
    <row r="1454" spans="4:4" x14ac:dyDescent="0.25">
      <c r="D1454" s="13"/>
    </row>
    <row r="1455" spans="4:4" x14ac:dyDescent="0.25">
      <c r="D1455" s="13"/>
    </row>
    <row r="1456" spans="4:4" x14ac:dyDescent="0.25">
      <c r="D1456" s="13"/>
    </row>
    <row r="1457" spans="4:4" x14ac:dyDescent="0.25">
      <c r="D1457" s="13"/>
    </row>
    <row r="1458" spans="4:4" x14ac:dyDescent="0.25">
      <c r="D1458" s="13"/>
    </row>
    <row r="1459" spans="4:4" x14ac:dyDescent="0.25">
      <c r="D1459" s="13"/>
    </row>
    <row r="1460" spans="4:4" x14ac:dyDescent="0.25">
      <c r="D1460" s="13"/>
    </row>
    <row r="1461" spans="4:4" x14ac:dyDescent="0.25">
      <c r="D1461" s="13"/>
    </row>
    <row r="1462" spans="4:4" x14ac:dyDescent="0.25">
      <c r="D1462" s="13"/>
    </row>
    <row r="1463" spans="4:4" x14ac:dyDescent="0.25">
      <c r="D1463" s="13"/>
    </row>
    <row r="1464" spans="4:4" x14ac:dyDescent="0.25">
      <c r="D1464" s="13"/>
    </row>
    <row r="1465" spans="4:4" x14ac:dyDescent="0.25">
      <c r="D1465" s="13"/>
    </row>
    <row r="1466" spans="4:4" x14ac:dyDescent="0.25">
      <c r="D1466" s="13"/>
    </row>
    <row r="1467" spans="4:4" x14ac:dyDescent="0.25">
      <c r="D1467" s="13"/>
    </row>
    <row r="1468" spans="4:4" x14ac:dyDescent="0.25">
      <c r="D1468" s="13"/>
    </row>
    <row r="1469" spans="4:4" x14ac:dyDescent="0.25">
      <c r="D1469" s="13"/>
    </row>
    <row r="1470" spans="4:4" x14ac:dyDescent="0.25">
      <c r="D1470" s="13"/>
    </row>
    <row r="1471" spans="4:4" x14ac:dyDescent="0.25">
      <c r="D1471" s="13"/>
    </row>
    <row r="1472" spans="4:4" x14ac:dyDescent="0.25">
      <c r="D1472" s="13"/>
    </row>
    <row r="1473" spans="4:4" x14ac:dyDescent="0.25">
      <c r="D1473" s="13"/>
    </row>
    <row r="1474" spans="4:4" x14ac:dyDescent="0.25">
      <c r="D1474" s="13"/>
    </row>
    <row r="1475" spans="4:4" x14ac:dyDescent="0.25">
      <c r="D1475" s="13"/>
    </row>
    <row r="1476" spans="4:4" x14ac:dyDescent="0.25">
      <c r="D1476" s="13"/>
    </row>
    <row r="1477" spans="4:4" x14ac:dyDescent="0.25">
      <c r="D1477" s="13"/>
    </row>
    <row r="1478" spans="4:4" x14ac:dyDescent="0.25">
      <c r="D1478" s="13"/>
    </row>
    <row r="1479" spans="4:4" x14ac:dyDescent="0.25">
      <c r="D1479" s="13"/>
    </row>
    <row r="1480" spans="4:4" x14ac:dyDescent="0.25">
      <c r="D1480" s="13"/>
    </row>
    <row r="1481" spans="4:4" x14ac:dyDescent="0.25">
      <c r="D1481" s="13"/>
    </row>
    <row r="1482" spans="4:4" x14ac:dyDescent="0.25">
      <c r="D1482" s="13"/>
    </row>
    <row r="1483" spans="4:4" x14ac:dyDescent="0.25">
      <c r="D1483" s="13"/>
    </row>
    <row r="1484" spans="4:4" x14ac:dyDescent="0.25">
      <c r="D1484" s="13"/>
    </row>
    <row r="1485" spans="4:4" x14ac:dyDescent="0.25">
      <c r="D1485" s="13"/>
    </row>
    <row r="1486" spans="4:4" x14ac:dyDescent="0.25">
      <c r="D1486" s="13"/>
    </row>
    <row r="1487" spans="4:4" x14ac:dyDescent="0.25">
      <c r="D1487" s="13"/>
    </row>
    <row r="1488" spans="4:4" x14ac:dyDescent="0.25">
      <c r="D1488" s="13"/>
    </row>
    <row r="1489" spans="4:4" x14ac:dyDescent="0.25">
      <c r="D1489" s="13"/>
    </row>
    <row r="1490" spans="4:4" x14ac:dyDescent="0.25">
      <c r="D1490" s="13"/>
    </row>
    <row r="1491" spans="4:4" x14ac:dyDescent="0.25">
      <c r="D1491" s="13"/>
    </row>
    <row r="1492" spans="4:4" x14ac:dyDescent="0.25">
      <c r="D1492" s="13"/>
    </row>
    <row r="1493" spans="4:4" x14ac:dyDescent="0.25">
      <c r="D1493" s="13"/>
    </row>
    <row r="1494" spans="4:4" x14ac:dyDescent="0.25">
      <c r="D1494" s="13"/>
    </row>
    <row r="1495" spans="4:4" x14ac:dyDescent="0.25">
      <c r="D1495" s="13"/>
    </row>
    <row r="1496" spans="4:4" x14ac:dyDescent="0.25">
      <c r="D1496" s="13"/>
    </row>
    <row r="1497" spans="4:4" x14ac:dyDescent="0.25">
      <c r="D1497" s="13"/>
    </row>
    <row r="1498" spans="4:4" x14ac:dyDescent="0.25">
      <c r="D1498" s="13"/>
    </row>
    <row r="1499" spans="4:4" x14ac:dyDescent="0.25">
      <c r="D1499" s="13"/>
    </row>
    <row r="1500" spans="4:4" x14ac:dyDescent="0.25">
      <c r="D1500" s="13"/>
    </row>
    <row r="1501" spans="4:4" x14ac:dyDescent="0.25">
      <c r="D1501" s="13"/>
    </row>
    <row r="1502" spans="4:4" x14ac:dyDescent="0.25">
      <c r="D1502" s="13"/>
    </row>
    <row r="1503" spans="4:4" x14ac:dyDescent="0.25">
      <c r="D1503" s="13"/>
    </row>
    <row r="1504" spans="4:4" x14ac:dyDescent="0.25">
      <c r="D1504" s="13"/>
    </row>
    <row r="1505" spans="4:4" x14ac:dyDescent="0.25">
      <c r="D1505" s="13"/>
    </row>
    <row r="1506" spans="4:4" x14ac:dyDescent="0.25">
      <c r="D1506" s="13"/>
    </row>
    <row r="1507" spans="4:4" x14ac:dyDescent="0.25">
      <c r="D1507" s="13"/>
    </row>
    <row r="1508" spans="4:4" x14ac:dyDescent="0.25">
      <c r="D1508" s="13"/>
    </row>
    <row r="1509" spans="4:4" x14ac:dyDescent="0.25">
      <c r="D1509" s="13"/>
    </row>
    <row r="1510" spans="4:4" x14ac:dyDescent="0.25">
      <c r="D1510" s="13"/>
    </row>
    <row r="1511" spans="4:4" x14ac:dyDescent="0.25">
      <c r="D1511" s="13"/>
    </row>
    <row r="1512" spans="4:4" x14ac:dyDescent="0.25">
      <c r="D1512" s="13"/>
    </row>
    <row r="1513" spans="4:4" x14ac:dyDescent="0.25">
      <c r="D1513" s="13"/>
    </row>
    <row r="1514" spans="4:4" x14ac:dyDescent="0.25">
      <c r="D1514" s="13"/>
    </row>
    <row r="1515" spans="4:4" x14ac:dyDescent="0.25">
      <c r="D1515" s="13"/>
    </row>
    <row r="1516" spans="4:4" x14ac:dyDescent="0.25">
      <c r="D1516" s="13"/>
    </row>
    <row r="1517" spans="4:4" x14ac:dyDescent="0.25">
      <c r="D1517" s="13"/>
    </row>
    <row r="1518" spans="4:4" x14ac:dyDescent="0.25">
      <c r="D1518" s="13"/>
    </row>
    <row r="1519" spans="4:4" x14ac:dyDescent="0.25">
      <c r="D1519" s="13"/>
    </row>
    <row r="1520" spans="4:4" x14ac:dyDescent="0.25">
      <c r="D1520" s="13"/>
    </row>
    <row r="1521" spans="4:4" x14ac:dyDescent="0.25">
      <c r="D1521" s="13"/>
    </row>
    <row r="1522" spans="4:4" x14ac:dyDescent="0.25">
      <c r="D1522" s="13"/>
    </row>
    <row r="1523" spans="4:4" x14ac:dyDescent="0.25">
      <c r="D1523" s="13"/>
    </row>
    <row r="1524" spans="4:4" x14ac:dyDescent="0.25">
      <c r="D1524" s="13"/>
    </row>
    <row r="1525" spans="4:4" x14ac:dyDescent="0.25">
      <c r="D1525" s="13"/>
    </row>
    <row r="1526" spans="4:4" x14ac:dyDescent="0.25">
      <c r="D1526" s="13"/>
    </row>
    <row r="1527" spans="4:4" x14ac:dyDescent="0.25">
      <c r="D1527" s="13"/>
    </row>
    <row r="1528" spans="4:4" x14ac:dyDescent="0.25">
      <c r="D1528" s="13"/>
    </row>
    <row r="1529" spans="4:4" x14ac:dyDescent="0.25">
      <c r="D1529" s="13"/>
    </row>
    <row r="1530" spans="4:4" x14ac:dyDescent="0.25">
      <c r="D1530" s="13"/>
    </row>
    <row r="1531" spans="4:4" x14ac:dyDescent="0.25">
      <c r="D1531" s="13"/>
    </row>
    <row r="1532" spans="4:4" x14ac:dyDescent="0.25">
      <c r="D1532" s="13"/>
    </row>
    <row r="1533" spans="4:4" x14ac:dyDescent="0.25">
      <c r="D1533" s="13"/>
    </row>
    <row r="1534" spans="4:4" x14ac:dyDescent="0.25">
      <c r="D1534" s="13"/>
    </row>
    <row r="1535" spans="4:4" x14ac:dyDescent="0.25">
      <c r="D1535" s="13"/>
    </row>
    <row r="1536" spans="4:4" x14ac:dyDescent="0.25">
      <c r="D1536" s="13"/>
    </row>
    <row r="1537" spans="4:4" x14ac:dyDescent="0.25">
      <c r="D1537" s="13"/>
    </row>
    <row r="1538" spans="4:4" x14ac:dyDescent="0.25">
      <c r="D1538" s="13"/>
    </row>
    <row r="1539" spans="4:4" x14ac:dyDescent="0.25">
      <c r="D1539" s="13"/>
    </row>
    <row r="1540" spans="4:4" x14ac:dyDescent="0.25">
      <c r="D1540" s="13"/>
    </row>
    <row r="1541" spans="4:4" x14ac:dyDescent="0.25">
      <c r="D1541" s="13"/>
    </row>
    <row r="1542" spans="4:4" x14ac:dyDescent="0.25">
      <c r="D1542" s="13"/>
    </row>
    <row r="1543" spans="4:4" x14ac:dyDescent="0.25">
      <c r="D1543" s="13"/>
    </row>
    <row r="1544" spans="4:4" x14ac:dyDescent="0.25">
      <c r="D1544" s="13"/>
    </row>
    <row r="1545" spans="4:4" x14ac:dyDescent="0.25">
      <c r="D1545" s="13"/>
    </row>
    <row r="1546" spans="4:4" x14ac:dyDescent="0.25">
      <c r="D1546" s="13"/>
    </row>
    <row r="1547" spans="4:4" x14ac:dyDescent="0.25">
      <c r="D1547" s="13"/>
    </row>
    <row r="1548" spans="4:4" x14ac:dyDescent="0.25">
      <c r="D1548" s="13"/>
    </row>
    <row r="1549" spans="4:4" x14ac:dyDescent="0.25">
      <c r="D1549" s="13"/>
    </row>
    <row r="1550" spans="4:4" x14ac:dyDescent="0.25">
      <c r="D1550" s="13"/>
    </row>
    <row r="1551" spans="4:4" x14ac:dyDescent="0.25">
      <c r="D1551" s="13"/>
    </row>
    <row r="1552" spans="4:4" x14ac:dyDescent="0.25">
      <c r="D1552" s="13"/>
    </row>
    <row r="1553" spans="4:4" x14ac:dyDescent="0.25">
      <c r="D1553" s="13"/>
    </row>
    <row r="1554" spans="4:4" x14ac:dyDescent="0.25">
      <c r="D1554" s="13"/>
    </row>
    <row r="1555" spans="4:4" x14ac:dyDescent="0.25">
      <c r="D1555" s="13"/>
    </row>
    <row r="1556" spans="4:4" x14ac:dyDescent="0.25">
      <c r="D1556" s="13"/>
    </row>
    <row r="1557" spans="4:4" x14ac:dyDescent="0.25">
      <c r="D1557" s="13"/>
    </row>
    <row r="1558" spans="4:4" x14ac:dyDescent="0.25">
      <c r="D1558" s="13"/>
    </row>
    <row r="1559" spans="4:4" x14ac:dyDescent="0.25">
      <c r="D1559" s="13"/>
    </row>
    <row r="1560" spans="4:4" x14ac:dyDescent="0.25">
      <c r="D1560" s="13"/>
    </row>
    <row r="1561" spans="4:4" x14ac:dyDescent="0.25">
      <c r="D1561" s="13"/>
    </row>
    <row r="1562" spans="4:4" x14ac:dyDescent="0.25">
      <c r="D1562" s="13"/>
    </row>
    <row r="1563" spans="4:4" x14ac:dyDescent="0.25">
      <c r="D1563" s="13"/>
    </row>
    <row r="1564" spans="4:4" x14ac:dyDescent="0.25">
      <c r="D1564" s="13"/>
    </row>
    <row r="1565" spans="4:4" x14ac:dyDescent="0.25">
      <c r="D1565" s="13"/>
    </row>
    <row r="1566" spans="4:4" x14ac:dyDescent="0.25">
      <c r="D1566" s="13"/>
    </row>
    <row r="1567" spans="4:4" x14ac:dyDescent="0.25">
      <c r="D1567" s="13"/>
    </row>
    <row r="1568" spans="4:4" x14ac:dyDescent="0.25">
      <c r="D1568" s="13"/>
    </row>
    <row r="1569" spans="4:4" x14ac:dyDescent="0.25">
      <c r="D1569" s="13"/>
    </row>
    <row r="1570" spans="4:4" x14ac:dyDescent="0.25">
      <c r="D1570" s="13"/>
    </row>
    <row r="1571" spans="4:4" x14ac:dyDescent="0.25">
      <c r="D1571" s="13"/>
    </row>
    <row r="1572" spans="4:4" x14ac:dyDescent="0.25">
      <c r="D1572" s="13"/>
    </row>
    <row r="1573" spans="4:4" x14ac:dyDescent="0.25">
      <c r="D1573" s="13"/>
    </row>
    <row r="1574" spans="4:4" x14ac:dyDescent="0.25">
      <c r="D1574" s="13"/>
    </row>
    <row r="1575" spans="4:4" x14ac:dyDescent="0.25">
      <c r="D1575" s="13"/>
    </row>
    <row r="1576" spans="4:4" x14ac:dyDescent="0.25">
      <c r="D1576" s="13"/>
    </row>
    <row r="1577" spans="4:4" x14ac:dyDescent="0.25">
      <c r="D1577" s="13"/>
    </row>
    <row r="1578" spans="4:4" x14ac:dyDescent="0.25">
      <c r="D1578" s="13"/>
    </row>
    <row r="1579" spans="4:4" x14ac:dyDescent="0.25">
      <c r="D1579" s="13"/>
    </row>
    <row r="1580" spans="4:4" x14ac:dyDescent="0.25">
      <c r="D1580" s="13"/>
    </row>
    <row r="1581" spans="4:4" x14ac:dyDescent="0.25">
      <c r="D1581" s="13"/>
    </row>
    <row r="1582" spans="4:4" x14ac:dyDescent="0.25">
      <c r="D1582" s="13"/>
    </row>
    <row r="1583" spans="4:4" x14ac:dyDescent="0.25">
      <c r="D1583" s="13"/>
    </row>
    <row r="1584" spans="4:4" x14ac:dyDescent="0.25">
      <c r="D1584" s="13"/>
    </row>
    <row r="1585" spans="4:4" x14ac:dyDescent="0.25">
      <c r="D1585" s="13"/>
    </row>
    <row r="1586" spans="4:4" x14ac:dyDescent="0.25">
      <c r="D1586" s="13"/>
    </row>
    <row r="1587" spans="4:4" x14ac:dyDescent="0.25">
      <c r="D1587" s="13"/>
    </row>
    <row r="1588" spans="4:4" x14ac:dyDescent="0.25">
      <c r="D1588" s="13"/>
    </row>
    <row r="1589" spans="4:4" x14ac:dyDescent="0.25">
      <c r="D1589" s="13"/>
    </row>
    <row r="1590" spans="4:4" x14ac:dyDescent="0.25">
      <c r="D1590" s="13"/>
    </row>
    <row r="1591" spans="4:4" x14ac:dyDescent="0.25">
      <c r="D1591" s="13"/>
    </row>
    <row r="1592" spans="4:4" x14ac:dyDescent="0.25">
      <c r="D1592" s="13"/>
    </row>
    <row r="1593" spans="4:4" x14ac:dyDescent="0.25">
      <c r="D1593" s="13"/>
    </row>
    <row r="1594" spans="4:4" x14ac:dyDescent="0.25">
      <c r="D1594" s="13"/>
    </row>
    <row r="1595" spans="4:4" x14ac:dyDescent="0.25">
      <c r="D1595" s="13"/>
    </row>
    <row r="1596" spans="4:4" x14ac:dyDescent="0.25">
      <c r="D1596" s="13"/>
    </row>
    <row r="1597" spans="4:4" x14ac:dyDescent="0.25">
      <c r="D1597" s="13"/>
    </row>
    <row r="1598" spans="4:4" x14ac:dyDescent="0.25">
      <c r="D1598" s="13"/>
    </row>
    <row r="1599" spans="4:4" x14ac:dyDescent="0.25">
      <c r="D1599" s="13"/>
    </row>
    <row r="1600" spans="4:4" x14ac:dyDescent="0.25">
      <c r="D1600" s="13"/>
    </row>
    <row r="1601" spans="4:4" x14ac:dyDescent="0.25">
      <c r="D1601" s="13"/>
    </row>
    <row r="1602" spans="4:4" x14ac:dyDescent="0.25">
      <c r="D1602" s="13"/>
    </row>
    <row r="1603" spans="4:4" x14ac:dyDescent="0.25">
      <c r="D1603" s="13"/>
    </row>
    <row r="1604" spans="4:4" x14ac:dyDescent="0.25">
      <c r="D1604" s="13"/>
    </row>
    <row r="1605" spans="4:4" x14ac:dyDescent="0.25">
      <c r="D1605" s="13"/>
    </row>
    <row r="1606" spans="4:4" x14ac:dyDescent="0.25">
      <c r="D1606" s="13"/>
    </row>
    <row r="1607" spans="4:4" x14ac:dyDescent="0.25">
      <c r="D1607" s="13"/>
    </row>
    <row r="1608" spans="4:4" x14ac:dyDescent="0.25">
      <c r="D1608" s="13"/>
    </row>
    <row r="1609" spans="4:4" x14ac:dyDescent="0.25">
      <c r="D1609" s="13"/>
    </row>
    <row r="1610" spans="4:4" x14ac:dyDescent="0.25">
      <c r="D1610" s="13"/>
    </row>
    <row r="1611" spans="4:4" x14ac:dyDescent="0.25">
      <c r="D1611" s="13"/>
    </row>
    <row r="1612" spans="4:4" x14ac:dyDescent="0.25">
      <c r="D1612" s="13"/>
    </row>
    <row r="1613" spans="4:4" x14ac:dyDescent="0.25">
      <c r="D1613" s="13"/>
    </row>
    <row r="1614" spans="4:4" x14ac:dyDescent="0.25">
      <c r="D1614" s="13"/>
    </row>
    <row r="1615" spans="4:4" x14ac:dyDescent="0.25">
      <c r="D1615" s="13"/>
    </row>
    <row r="1616" spans="4:4" x14ac:dyDescent="0.25">
      <c r="D1616" s="13"/>
    </row>
    <row r="1617" spans="4:4" x14ac:dyDescent="0.25">
      <c r="D1617" s="13"/>
    </row>
    <row r="1618" spans="4:4" x14ac:dyDescent="0.25">
      <c r="D1618" s="13"/>
    </row>
    <row r="1619" spans="4:4" x14ac:dyDescent="0.25">
      <c r="D1619" s="13"/>
    </row>
    <row r="1620" spans="4:4" x14ac:dyDescent="0.25">
      <c r="D1620" s="13"/>
    </row>
    <row r="1621" spans="4:4" x14ac:dyDescent="0.25">
      <c r="D1621" s="13"/>
    </row>
    <row r="1622" spans="4:4" x14ac:dyDescent="0.25">
      <c r="D1622" s="13"/>
    </row>
    <row r="1623" spans="4:4" x14ac:dyDescent="0.25">
      <c r="D1623" s="13"/>
    </row>
    <row r="1624" spans="4:4" x14ac:dyDescent="0.25">
      <c r="D1624" s="13"/>
    </row>
    <row r="1625" spans="4:4" x14ac:dyDescent="0.25">
      <c r="D1625" s="13"/>
    </row>
    <row r="1626" spans="4:4" x14ac:dyDescent="0.25">
      <c r="D1626" s="13"/>
    </row>
    <row r="1627" spans="4:4" x14ac:dyDescent="0.25">
      <c r="D1627" s="13"/>
    </row>
    <row r="1628" spans="4:4" x14ac:dyDescent="0.25">
      <c r="D1628" s="13"/>
    </row>
    <row r="1629" spans="4:4" x14ac:dyDescent="0.25">
      <c r="D1629" s="13"/>
    </row>
    <row r="1630" spans="4:4" x14ac:dyDescent="0.25">
      <c r="D1630" s="13"/>
    </row>
    <row r="1631" spans="4:4" x14ac:dyDescent="0.25">
      <c r="D1631" s="13"/>
    </row>
    <row r="1632" spans="4:4" x14ac:dyDescent="0.25">
      <c r="D1632" s="13"/>
    </row>
    <row r="1633" spans="4:4" x14ac:dyDescent="0.25">
      <c r="D1633" s="13"/>
    </row>
    <row r="1634" spans="4:4" x14ac:dyDescent="0.25">
      <c r="D1634" s="13"/>
    </row>
    <row r="1635" spans="4:4" x14ac:dyDescent="0.25">
      <c r="D1635" s="13"/>
    </row>
    <row r="1636" spans="4:4" x14ac:dyDescent="0.25">
      <c r="D1636" s="13"/>
    </row>
    <row r="1637" spans="4:4" x14ac:dyDescent="0.25">
      <c r="D1637" s="13"/>
    </row>
    <row r="1638" spans="4:4" x14ac:dyDescent="0.25">
      <c r="D1638" s="13"/>
    </row>
    <row r="1639" spans="4:4" x14ac:dyDescent="0.25">
      <c r="D1639" s="13"/>
    </row>
    <row r="1640" spans="4:4" x14ac:dyDescent="0.25">
      <c r="D1640" s="13"/>
    </row>
    <row r="1641" spans="4:4" x14ac:dyDescent="0.25">
      <c r="D1641" s="13"/>
    </row>
    <row r="1642" spans="4:4" x14ac:dyDescent="0.25">
      <c r="D1642" s="13"/>
    </row>
    <row r="1643" spans="4:4" x14ac:dyDescent="0.25">
      <c r="D1643" s="13"/>
    </row>
    <row r="1644" spans="4:4" x14ac:dyDescent="0.25">
      <c r="D1644" s="13"/>
    </row>
    <row r="1645" spans="4:4" x14ac:dyDescent="0.25">
      <c r="D1645" s="13"/>
    </row>
    <row r="1646" spans="4:4" x14ac:dyDescent="0.25">
      <c r="D1646" s="13"/>
    </row>
    <row r="1647" spans="4:4" x14ac:dyDescent="0.25">
      <c r="D1647" s="13"/>
    </row>
    <row r="1648" spans="4:4" x14ac:dyDescent="0.25">
      <c r="D1648" s="13"/>
    </row>
    <row r="1649" spans="4:4" x14ac:dyDescent="0.25">
      <c r="D1649" s="13"/>
    </row>
    <row r="1650" spans="4:4" x14ac:dyDescent="0.25">
      <c r="D1650" s="13"/>
    </row>
    <row r="1651" spans="4:4" x14ac:dyDescent="0.25">
      <c r="D1651" s="13"/>
    </row>
    <row r="1652" spans="4:4" x14ac:dyDescent="0.25">
      <c r="D1652" s="13"/>
    </row>
    <row r="1653" spans="4:4" x14ac:dyDescent="0.25">
      <c r="D1653" s="13"/>
    </row>
    <row r="1654" spans="4:4" x14ac:dyDescent="0.25">
      <c r="D1654" s="13"/>
    </row>
    <row r="1655" spans="4:4" x14ac:dyDescent="0.25">
      <c r="D1655" s="13"/>
    </row>
    <row r="1656" spans="4:4" x14ac:dyDescent="0.25">
      <c r="D1656" s="13"/>
    </row>
    <row r="1657" spans="4:4" x14ac:dyDescent="0.25">
      <c r="D1657" s="13"/>
    </row>
    <row r="1658" spans="4:4" x14ac:dyDescent="0.25">
      <c r="D1658" s="13"/>
    </row>
    <row r="1659" spans="4:4" x14ac:dyDescent="0.25">
      <c r="D1659" s="13"/>
    </row>
    <row r="1660" spans="4:4" x14ac:dyDescent="0.25">
      <c r="D1660" s="13"/>
    </row>
    <row r="1661" spans="4:4" x14ac:dyDescent="0.25">
      <c r="D1661" s="13"/>
    </row>
    <row r="1662" spans="4:4" x14ac:dyDescent="0.25">
      <c r="D1662" s="13"/>
    </row>
    <row r="1663" spans="4:4" x14ac:dyDescent="0.25">
      <c r="D1663" s="13"/>
    </row>
    <row r="1664" spans="4:4" x14ac:dyDescent="0.25">
      <c r="D1664" s="13"/>
    </row>
    <row r="1665" spans="4:4" x14ac:dyDescent="0.25">
      <c r="D1665" s="13"/>
    </row>
    <row r="1666" spans="4:4" x14ac:dyDescent="0.25">
      <c r="D1666" s="13"/>
    </row>
    <row r="1667" spans="4:4" x14ac:dyDescent="0.25">
      <c r="D1667" s="13"/>
    </row>
    <row r="1668" spans="4:4" x14ac:dyDescent="0.25">
      <c r="D1668" s="13"/>
    </row>
    <row r="1669" spans="4:4" x14ac:dyDescent="0.25">
      <c r="D1669" s="13"/>
    </row>
    <row r="1670" spans="4:4" x14ac:dyDescent="0.25">
      <c r="D1670" s="13"/>
    </row>
    <row r="1671" spans="4:4" x14ac:dyDescent="0.25">
      <c r="D1671" s="13"/>
    </row>
    <row r="1672" spans="4:4" x14ac:dyDescent="0.25">
      <c r="D1672" s="13"/>
    </row>
  </sheetData>
  <autoFilter ref="B1:B1672" xr:uid="{00000000-0001-0000-0200-000000000000}"/>
  <sortState xmlns:xlrd2="http://schemas.microsoft.com/office/spreadsheetml/2017/richdata2" ref="A8:BO45">
    <sortCondition ref="A45"/>
  </sortState>
  <mergeCells count="7">
    <mergeCell ref="A46:C46"/>
    <mergeCell ref="A1:C2"/>
    <mergeCell ref="AM3:AN3"/>
    <mergeCell ref="W3:X3"/>
    <mergeCell ref="A7:B7"/>
    <mergeCell ref="A5:B5"/>
    <mergeCell ref="L3:M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499"/>
  <sheetViews>
    <sheetView zoomScaleNormal="100" workbookViewId="0">
      <pane xSplit="4" ySplit="4" topLeftCell="E364" activePane="bottomRight" state="frozen"/>
      <selection pane="topRight" activeCell="E1" sqref="E1"/>
      <selection pane="bottomLeft" activeCell="A3" sqref="A3"/>
      <selection pane="bottomRight" activeCell="D391" sqref="D391"/>
    </sheetView>
  </sheetViews>
  <sheetFormatPr defaultRowHeight="15" x14ac:dyDescent="0.25"/>
  <cols>
    <col min="1" max="1" width="19.140625" style="11" bestFit="1" customWidth="1"/>
    <col min="2" max="2" width="27.5703125" style="87" bestFit="1" customWidth="1"/>
    <col min="3" max="3" width="8.140625" style="3" bestFit="1" customWidth="1"/>
    <col min="4" max="4" width="11.42578125" style="7" customWidth="1"/>
    <col min="5" max="5" width="12.28515625" style="283" customWidth="1"/>
    <col min="6" max="6" width="12.28515625" style="278" customWidth="1"/>
    <col min="7" max="7" width="12.28515625" style="120" customWidth="1"/>
    <col min="8" max="8" width="2.7109375" style="13" customWidth="1"/>
    <col min="9" max="9" width="12.28515625" style="261" customWidth="1"/>
    <col min="10" max="10" width="12.28515625" style="246" customWidth="1"/>
    <col min="11" max="11" width="12.28515625" style="241" customWidth="1"/>
    <col min="12" max="12" width="12.28515625" style="228" customWidth="1"/>
    <col min="13" max="13" width="12.28515625" style="215" customWidth="1"/>
    <col min="14" max="14" width="12.28515625" style="267" customWidth="1"/>
    <col min="15" max="15" width="11" style="120" customWidth="1"/>
    <col min="16" max="17" width="9.140625" style="3"/>
    <col min="18" max="18" width="2.85546875" style="215" customWidth="1"/>
    <col min="19" max="25" width="12.42578125" style="154" customWidth="1"/>
    <col min="26" max="26" width="10.85546875" style="13" customWidth="1"/>
    <col min="27" max="28" width="9.140625" style="3"/>
    <col min="29" max="29" width="3.5703125" style="13" customWidth="1"/>
    <col min="30" max="30" width="13.140625" style="13" customWidth="1"/>
    <col min="31" max="35" width="10.85546875" style="13" customWidth="1"/>
    <col min="36" max="37" width="9.140625" style="3"/>
    <col min="38" max="38" width="3.5703125" style="13" customWidth="1"/>
    <col min="39" max="39" width="8.85546875" style="13" customWidth="1"/>
    <col min="40" max="44" width="11.140625" style="13" customWidth="1"/>
    <col min="45" max="45" width="8.85546875" style="13" customWidth="1"/>
    <col min="46" max="46" width="10.85546875" style="3" customWidth="1"/>
    <col min="47" max="16384" width="9.140625" style="3"/>
  </cols>
  <sheetData>
    <row r="1" spans="1:67" ht="15" customHeight="1" x14ac:dyDescent="0.5">
      <c r="A1" s="296" t="s">
        <v>11</v>
      </c>
      <c r="B1" s="297"/>
      <c r="C1" s="297"/>
      <c r="D1" s="55"/>
      <c r="E1" s="271"/>
      <c r="F1" s="271"/>
      <c r="G1" s="102"/>
      <c r="H1" s="211"/>
      <c r="I1" s="102"/>
      <c r="J1" s="102"/>
      <c r="K1" s="102"/>
      <c r="L1" s="102"/>
      <c r="M1" s="102"/>
      <c r="N1" s="102"/>
      <c r="O1" s="106"/>
      <c r="R1" s="102"/>
      <c r="S1" s="106"/>
      <c r="T1" s="106"/>
      <c r="U1" s="106"/>
      <c r="V1" s="106"/>
      <c r="W1" s="106"/>
      <c r="X1" s="106"/>
      <c r="Y1" s="106"/>
      <c r="Z1" s="56"/>
      <c r="AC1" s="56"/>
      <c r="AD1" s="56"/>
      <c r="AE1" s="56"/>
      <c r="AF1" s="56"/>
      <c r="AG1" s="56"/>
      <c r="AH1" s="56"/>
      <c r="AI1" s="56"/>
      <c r="AL1" s="56"/>
      <c r="AM1" s="55"/>
      <c r="AN1" s="55"/>
      <c r="AO1" s="55"/>
      <c r="AP1" s="55"/>
      <c r="AQ1" s="55"/>
      <c r="AR1" s="55"/>
      <c r="AS1" s="55"/>
    </row>
    <row r="2" spans="1:67" ht="15" customHeight="1" x14ac:dyDescent="0.5">
      <c r="A2" s="298"/>
      <c r="B2" s="299"/>
      <c r="C2" s="299"/>
      <c r="D2" s="55"/>
      <c r="E2" s="272"/>
      <c r="F2" s="272"/>
      <c r="G2" s="103"/>
      <c r="H2" s="212"/>
      <c r="I2" s="103"/>
      <c r="J2" s="103"/>
      <c r="K2" s="103"/>
      <c r="L2" s="103"/>
      <c r="M2" s="103"/>
      <c r="N2" s="103"/>
      <c r="O2" s="106"/>
      <c r="R2" s="103"/>
      <c r="S2" s="106"/>
      <c r="T2" s="106"/>
      <c r="U2" s="106"/>
      <c r="V2" s="106"/>
      <c r="W2" s="106"/>
      <c r="X2" s="106"/>
      <c r="Y2" s="106"/>
      <c r="Z2" s="56"/>
      <c r="AC2" s="56"/>
      <c r="AD2" s="56"/>
      <c r="AE2" s="56"/>
      <c r="AF2" s="56"/>
      <c r="AG2" s="56"/>
      <c r="AH2" s="56"/>
      <c r="AI2" s="56"/>
      <c r="AL2" s="56"/>
      <c r="AM2" s="55"/>
      <c r="AN2" s="55"/>
      <c r="AO2" s="55"/>
      <c r="AP2" s="55"/>
      <c r="AQ2" s="55"/>
      <c r="AR2" s="55"/>
      <c r="AS2" s="55"/>
    </row>
    <row r="3" spans="1:67" s="6" customFormat="1" ht="33.75" x14ac:dyDescent="0.5">
      <c r="A3" s="9"/>
      <c r="B3" s="82"/>
      <c r="D3" s="8"/>
      <c r="E3" s="282"/>
      <c r="F3" s="275"/>
      <c r="G3" s="275"/>
      <c r="H3" s="279"/>
      <c r="I3" s="302">
        <v>2025</v>
      </c>
      <c r="J3" s="311"/>
      <c r="K3" s="311"/>
      <c r="L3" s="311"/>
      <c r="M3" s="303"/>
      <c r="N3" s="266"/>
      <c r="O3" s="106"/>
      <c r="R3" s="36"/>
      <c r="S3" s="204"/>
      <c r="T3" s="195"/>
      <c r="U3" s="186"/>
      <c r="V3" s="171"/>
      <c r="W3" s="326">
        <v>2024</v>
      </c>
      <c r="X3" s="327"/>
      <c r="Y3" s="216"/>
      <c r="Z3" s="8"/>
      <c r="AC3" s="8"/>
      <c r="AD3" s="325">
        <v>2023</v>
      </c>
      <c r="AE3" s="326"/>
      <c r="AF3" s="326"/>
      <c r="AG3" s="326"/>
      <c r="AH3" s="327"/>
      <c r="AI3" s="8"/>
      <c r="AL3" s="8"/>
      <c r="AM3" s="308">
        <v>2022</v>
      </c>
      <c r="AN3" s="309"/>
      <c r="AO3" s="309"/>
      <c r="AP3" s="309"/>
      <c r="AQ3" s="309"/>
      <c r="AR3" s="309"/>
      <c r="AS3" s="310"/>
    </row>
    <row r="4" spans="1:67" s="5" customFormat="1" ht="60" x14ac:dyDescent="0.25">
      <c r="A4" s="5" t="s">
        <v>1</v>
      </c>
      <c r="B4" s="82" t="s">
        <v>2</v>
      </c>
      <c r="C4" s="5" t="s">
        <v>3</v>
      </c>
      <c r="D4" s="49" t="s">
        <v>1399</v>
      </c>
      <c r="E4" s="281" t="s">
        <v>1398</v>
      </c>
      <c r="F4" s="281" t="s">
        <v>1363</v>
      </c>
      <c r="G4" s="273" t="s">
        <v>5</v>
      </c>
      <c r="H4" s="68"/>
      <c r="I4" s="270" t="s">
        <v>1285</v>
      </c>
      <c r="J4" s="249" t="s">
        <v>1260</v>
      </c>
      <c r="K4" s="249" t="s">
        <v>1208</v>
      </c>
      <c r="L4" s="233" t="s">
        <v>227</v>
      </c>
      <c r="M4" s="226" t="s">
        <v>4</v>
      </c>
      <c r="N4" s="221" t="s">
        <v>543</v>
      </c>
      <c r="O4" s="273" t="s">
        <v>5</v>
      </c>
      <c r="P4" s="96" t="s">
        <v>1362</v>
      </c>
      <c r="Q4" s="97" t="s">
        <v>541</v>
      </c>
      <c r="R4" s="226"/>
      <c r="S4" s="206" t="s">
        <v>460</v>
      </c>
      <c r="T4" s="197" t="s">
        <v>390</v>
      </c>
      <c r="U4" s="188" t="s">
        <v>227</v>
      </c>
      <c r="V4" s="157" t="s">
        <v>870</v>
      </c>
      <c r="W4" s="157" t="s">
        <v>291</v>
      </c>
      <c r="X4" s="157" t="s">
        <v>4</v>
      </c>
      <c r="Y4" s="221" t="s">
        <v>543</v>
      </c>
      <c r="Z4" s="119" t="s">
        <v>5</v>
      </c>
      <c r="AA4" s="96" t="s">
        <v>1061</v>
      </c>
      <c r="AB4" s="97" t="s">
        <v>541</v>
      </c>
      <c r="AC4" s="138"/>
      <c r="AD4" s="137" t="s">
        <v>390</v>
      </c>
      <c r="AE4" s="116" t="s">
        <v>227</v>
      </c>
      <c r="AF4" s="116" t="s">
        <v>291</v>
      </c>
      <c r="AG4" s="116" t="s">
        <v>4</v>
      </c>
      <c r="AH4" s="105" t="s">
        <v>543</v>
      </c>
      <c r="AI4" s="119" t="s">
        <v>5</v>
      </c>
      <c r="AJ4" s="96" t="s">
        <v>754</v>
      </c>
      <c r="AK4" s="97" t="s">
        <v>541</v>
      </c>
      <c r="AL4" s="42"/>
      <c r="AM4" s="44" t="s">
        <v>4</v>
      </c>
      <c r="AN4" s="59" t="s">
        <v>62</v>
      </c>
      <c r="AO4" s="73" t="s">
        <v>227</v>
      </c>
      <c r="AP4" s="79" t="s">
        <v>291</v>
      </c>
      <c r="AQ4" s="81" t="s">
        <v>390</v>
      </c>
      <c r="AR4" s="93" t="s">
        <v>460</v>
      </c>
      <c r="AS4" s="33" t="s">
        <v>34</v>
      </c>
      <c r="AT4" s="95" t="s">
        <v>5</v>
      </c>
      <c r="AU4" s="96" t="s">
        <v>540</v>
      </c>
      <c r="AV4" s="97" t="s">
        <v>541</v>
      </c>
    </row>
    <row r="5" spans="1:67" x14ac:dyDescent="0.25">
      <c r="A5" s="319" t="s">
        <v>13</v>
      </c>
      <c r="B5" s="321"/>
      <c r="C5" s="322"/>
      <c r="D5" s="22"/>
      <c r="H5" s="280"/>
      <c r="P5" s="96"/>
      <c r="Q5" s="97"/>
      <c r="S5" s="201"/>
      <c r="T5" s="192"/>
      <c r="U5" s="183"/>
      <c r="V5" s="168"/>
      <c r="W5" s="50"/>
      <c r="X5" s="50"/>
      <c r="Y5" s="215"/>
      <c r="Z5" s="121"/>
      <c r="AA5" s="96"/>
      <c r="AB5" s="97"/>
      <c r="AC5" s="22"/>
      <c r="AD5" s="22"/>
      <c r="AE5" s="22"/>
      <c r="AF5" s="22"/>
      <c r="AG5" s="22"/>
      <c r="AH5" s="22"/>
      <c r="AI5" s="121"/>
      <c r="AJ5" s="96"/>
      <c r="AK5" s="97"/>
      <c r="AL5" s="22"/>
      <c r="AM5" s="22"/>
      <c r="AN5" s="22"/>
      <c r="AO5" s="22"/>
      <c r="AP5" s="22"/>
      <c r="AQ5" s="22"/>
      <c r="AR5" s="22"/>
      <c r="AS5" s="22"/>
      <c r="AT5" s="95"/>
      <c r="AU5" s="96"/>
      <c r="AV5" s="97"/>
    </row>
    <row r="6" spans="1:67" x14ac:dyDescent="0.25">
      <c r="A6" s="11" t="s">
        <v>489</v>
      </c>
      <c r="B6" s="60" t="s">
        <v>488</v>
      </c>
      <c r="C6" s="62">
        <v>2011</v>
      </c>
      <c r="D6" s="1">
        <f t="shared" ref="D6:D35" si="0">Q6+E6</f>
        <v>469</v>
      </c>
      <c r="E6" s="154"/>
      <c r="F6" s="154"/>
      <c r="H6" s="280"/>
      <c r="I6" s="108">
        <f>75</f>
        <v>75</v>
      </c>
      <c r="J6" s="108">
        <v>105</v>
      </c>
      <c r="K6" s="108">
        <f>54</f>
        <v>54</v>
      </c>
      <c r="L6" s="108"/>
      <c r="M6" s="108"/>
      <c r="N6" s="267">
        <f t="shared" ref="N6:N36" si="1">AB6</f>
        <v>235</v>
      </c>
      <c r="P6" s="96">
        <f t="shared" ref="P6:P36" si="2">I6+J6+K6+L6+N6</f>
        <v>469</v>
      </c>
      <c r="Q6" s="97">
        <f t="shared" ref="Q6:Q36" si="3">IF(C6=2013, P6/3,P6)+O6</f>
        <v>469</v>
      </c>
      <c r="R6" s="108"/>
      <c r="S6" s="201">
        <f>33</f>
        <v>33</v>
      </c>
      <c r="T6" s="192">
        <f>45</f>
        <v>45</v>
      </c>
      <c r="U6" s="183">
        <f>21</f>
        <v>21</v>
      </c>
      <c r="V6" s="168">
        <f>9</f>
        <v>9</v>
      </c>
      <c r="W6" s="50">
        <f>60</f>
        <v>60</v>
      </c>
      <c r="X6" s="50"/>
      <c r="Y6" s="215">
        <f t="shared" ref="Y6:Y36" si="4">AK6</f>
        <v>67</v>
      </c>
      <c r="Z6" s="120"/>
      <c r="AA6" s="96">
        <f t="shared" ref="AA6:AA20" si="5">S6+T6+U6+V6+W6+X6+Y6</f>
        <v>235</v>
      </c>
      <c r="AB6" s="97">
        <f t="shared" ref="AB6:AB20" si="6">IF(C6=2012, AA6/3,AA6)+Z6</f>
        <v>235</v>
      </c>
      <c r="AC6" s="283"/>
      <c r="AD6" s="283"/>
      <c r="AE6" s="50">
        <f>75</f>
        <v>75</v>
      </c>
      <c r="AF6" s="50"/>
      <c r="AG6" s="50"/>
      <c r="AH6" s="50">
        <f>AV6</f>
        <v>81</v>
      </c>
      <c r="AI6" s="120">
        <f>15</f>
        <v>15</v>
      </c>
      <c r="AJ6" s="96">
        <f t="shared" ref="AJ6:AJ17" si="7">SUM(AD6:AH6)</f>
        <v>156</v>
      </c>
      <c r="AK6" s="97">
        <f t="shared" ref="AK6:AK17" si="8">IF(C6=2011, AJ6/3,AJ6)+AI6</f>
        <v>67</v>
      </c>
      <c r="AL6" s="22"/>
      <c r="AM6" s="41"/>
      <c r="AN6" s="41"/>
      <c r="AO6" s="41"/>
      <c r="AP6" s="41"/>
      <c r="AQ6" s="41"/>
      <c r="AR6" s="41">
        <f>81</f>
        <v>81</v>
      </c>
      <c r="AT6" s="95"/>
      <c r="AU6" s="96">
        <f>SUM(AM6:AS6)</f>
        <v>81</v>
      </c>
      <c r="AV6" s="97">
        <f>IF(C6=2015, AU6/3,AU6)+AT6</f>
        <v>81</v>
      </c>
    </row>
    <row r="7" spans="1:67" x14ac:dyDescent="0.25">
      <c r="A7" s="11" t="s">
        <v>235</v>
      </c>
      <c r="B7" s="60" t="s">
        <v>0</v>
      </c>
      <c r="C7" s="3">
        <v>2012</v>
      </c>
      <c r="D7" s="1">
        <f t="shared" si="0"/>
        <v>793.33333333333326</v>
      </c>
      <c r="E7" s="283">
        <f>90</f>
        <v>90</v>
      </c>
      <c r="H7" s="280"/>
      <c r="I7" s="261">
        <f>72</f>
        <v>72</v>
      </c>
      <c r="J7" s="246">
        <f>99+24</f>
        <v>123</v>
      </c>
      <c r="K7" s="241">
        <f>48+9</f>
        <v>57</v>
      </c>
      <c r="L7" s="228">
        <f>24+15</f>
        <v>39</v>
      </c>
      <c r="N7" s="267">
        <f t="shared" si="1"/>
        <v>412.33333333333331</v>
      </c>
      <c r="P7" s="96">
        <f t="shared" si="2"/>
        <v>703.33333333333326</v>
      </c>
      <c r="Q7" s="97">
        <f t="shared" si="3"/>
        <v>703.33333333333326</v>
      </c>
      <c r="S7" s="201">
        <f>117+15</f>
        <v>132</v>
      </c>
      <c r="T7" s="192">
        <f>66+6</f>
        <v>72</v>
      </c>
      <c r="U7" s="183">
        <f>3+9+6+3</f>
        <v>21</v>
      </c>
      <c r="V7" s="168">
        <f>66+15+6+9</f>
        <v>96</v>
      </c>
      <c r="W7" s="50">
        <f>60+6+15+9</f>
        <v>90</v>
      </c>
      <c r="X7" s="50"/>
      <c r="Y7" s="215">
        <f t="shared" si="4"/>
        <v>826</v>
      </c>
      <c r="Z7" s="120"/>
      <c r="AA7" s="96">
        <f t="shared" si="5"/>
        <v>1237</v>
      </c>
      <c r="AB7" s="97">
        <f t="shared" si="6"/>
        <v>412.33333333333331</v>
      </c>
      <c r="AC7" s="205"/>
      <c r="AD7" s="205"/>
      <c r="AE7" s="50">
        <f>81+54</f>
        <v>135</v>
      </c>
      <c r="AF7" s="50">
        <f>171+69</f>
        <v>240</v>
      </c>
      <c r="AG7" s="50">
        <f>66+21+3+3</f>
        <v>93</v>
      </c>
      <c r="AH7" s="50">
        <f>AV7</f>
        <v>358</v>
      </c>
      <c r="AI7" s="120"/>
      <c r="AJ7" s="96">
        <f t="shared" si="7"/>
        <v>826</v>
      </c>
      <c r="AK7" s="97">
        <f t="shared" si="8"/>
        <v>826</v>
      </c>
      <c r="AL7" s="22"/>
      <c r="AM7" s="50"/>
      <c r="AN7" s="50"/>
      <c r="AO7" s="50">
        <f>75+9</f>
        <v>84</v>
      </c>
      <c r="AP7" s="50">
        <f>81+12</f>
        <v>93</v>
      </c>
      <c r="AQ7" s="50">
        <f>10+42</f>
        <v>52</v>
      </c>
      <c r="AR7" s="50">
        <f>72+48+3+3</f>
        <v>126</v>
      </c>
      <c r="AS7" s="22">
        <f>3</f>
        <v>3</v>
      </c>
      <c r="AT7" s="95"/>
      <c r="AU7" s="96">
        <f>SUM(AM7:AS7)</f>
        <v>358</v>
      </c>
      <c r="AV7" s="97">
        <f>IF(C7=2015, AU7/3,AU7)+AT7</f>
        <v>358</v>
      </c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</row>
    <row r="8" spans="1:67" x14ac:dyDescent="0.25">
      <c r="A8" s="11" t="s">
        <v>19</v>
      </c>
      <c r="B8" s="60" t="s">
        <v>63</v>
      </c>
      <c r="C8" s="3">
        <v>2011</v>
      </c>
      <c r="D8" s="1">
        <f t="shared" si="0"/>
        <v>595.66666666666674</v>
      </c>
      <c r="E8" s="283">
        <f>18+15</f>
        <v>33</v>
      </c>
      <c r="F8" s="278">
        <f>0</f>
        <v>0</v>
      </c>
      <c r="H8" s="280"/>
      <c r="I8" s="261">
        <f>0+6</f>
        <v>6</v>
      </c>
      <c r="J8" s="246">
        <v>63</v>
      </c>
      <c r="K8" s="241">
        <f>27</f>
        <v>27</v>
      </c>
      <c r="N8" s="267">
        <f t="shared" si="1"/>
        <v>466.66666666666669</v>
      </c>
      <c r="P8" s="96">
        <f t="shared" si="2"/>
        <v>562.66666666666674</v>
      </c>
      <c r="Q8" s="97">
        <f t="shared" si="3"/>
        <v>562.66666666666674</v>
      </c>
      <c r="S8" s="201">
        <f>27</f>
        <v>27</v>
      </c>
      <c r="T8" s="192">
        <f>24</f>
        <v>24</v>
      </c>
      <c r="U8" s="183">
        <f>18</f>
        <v>18</v>
      </c>
      <c r="V8" s="168">
        <f>0</f>
        <v>0</v>
      </c>
      <c r="W8" s="50"/>
      <c r="X8" s="50">
        <f>36+9</f>
        <v>45</v>
      </c>
      <c r="Y8" s="215">
        <f t="shared" si="4"/>
        <v>352.66666666666669</v>
      </c>
      <c r="Z8" s="120"/>
      <c r="AA8" s="96">
        <f t="shared" si="5"/>
        <v>466.66666666666669</v>
      </c>
      <c r="AB8" s="97">
        <f t="shared" si="6"/>
        <v>466.66666666666669</v>
      </c>
      <c r="AC8" s="283"/>
      <c r="AD8" s="283"/>
      <c r="AE8" s="50">
        <f>48+45</f>
        <v>93</v>
      </c>
      <c r="AF8" s="50">
        <f>147</f>
        <v>147</v>
      </c>
      <c r="AG8" s="50">
        <f>24+48</f>
        <v>72</v>
      </c>
      <c r="AH8" s="50">
        <f>AV8</f>
        <v>746</v>
      </c>
      <c r="AI8" s="120"/>
      <c r="AJ8" s="96">
        <f t="shared" si="7"/>
        <v>1058</v>
      </c>
      <c r="AK8" s="97">
        <f t="shared" si="8"/>
        <v>352.66666666666669</v>
      </c>
      <c r="AL8" s="22"/>
      <c r="AM8" s="50">
        <f>10</f>
        <v>10</v>
      </c>
      <c r="AN8" s="50"/>
      <c r="AO8" s="50">
        <f>66</f>
        <v>66</v>
      </c>
      <c r="AP8" s="50">
        <f>57+9</f>
        <v>66</v>
      </c>
      <c r="AQ8" s="50">
        <f>9+33</f>
        <v>42</v>
      </c>
      <c r="AR8" s="50">
        <f>42+39</f>
        <v>81</v>
      </c>
      <c r="AS8" s="283">
        <v>481</v>
      </c>
      <c r="AT8" s="95"/>
      <c r="AU8" s="96">
        <f>SUM(AM8:AS8)</f>
        <v>746</v>
      </c>
      <c r="AV8" s="97">
        <f>IF(C8=2015, AU8/3,AU8)+AT8</f>
        <v>746</v>
      </c>
      <c r="AW8" s="150"/>
    </row>
    <row r="9" spans="1:67" x14ac:dyDescent="0.25">
      <c r="A9" s="11" t="s">
        <v>325</v>
      </c>
      <c r="B9" s="60" t="s">
        <v>0</v>
      </c>
      <c r="C9" s="3">
        <v>2011</v>
      </c>
      <c r="D9" s="1">
        <f t="shared" si="0"/>
        <v>657.66666666666663</v>
      </c>
      <c r="E9" s="156">
        <f>45+24</f>
        <v>69</v>
      </c>
      <c r="F9" s="156"/>
      <c r="H9" s="280"/>
      <c r="I9" s="261">
        <f>27+9</f>
        <v>36</v>
      </c>
      <c r="J9" s="246">
        <f>21</f>
        <v>21</v>
      </c>
      <c r="K9" s="241">
        <f>27+9</f>
        <v>36</v>
      </c>
      <c r="L9" s="228">
        <f>15+30</f>
        <v>45</v>
      </c>
      <c r="N9" s="267">
        <f t="shared" si="1"/>
        <v>450.66666666666663</v>
      </c>
      <c r="P9" s="96">
        <f t="shared" si="2"/>
        <v>588.66666666666663</v>
      </c>
      <c r="Q9" s="97">
        <f t="shared" si="3"/>
        <v>588.66666666666663</v>
      </c>
      <c r="S9" s="201">
        <f>30</f>
        <v>30</v>
      </c>
      <c r="T9" s="192">
        <f>33+9</f>
        <v>42</v>
      </c>
      <c r="U9" s="183">
        <f>12+6</f>
        <v>18</v>
      </c>
      <c r="V9" s="168"/>
      <c r="W9" s="50">
        <f>45</f>
        <v>45</v>
      </c>
      <c r="X9" s="50">
        <f>33+3</f>
        <v>36</v>
      </c>
      <c r="Y9" s="215">
        <f t="shared" si="4"/>
        <v>279.66666666666663</v>
      </c>
      <c r="Z9" s="120"/>
      <c r="AA9" s="96">
        <f t="shared" si="5"/>
        <v>450.66666666666663</v>
      </c>
      <c r="AB9" s="97">
        <f t="shared" si="6"/>
        <v>450.66666666666663</v>
      </c>
      <c r="AC9" s="283"/>
      <c r="AD9" s="283"/>
      <c r="AE9" s="50"/>
      <c r="AF9" s="50"/>
      <c r="AG9" s="50">
        <f>3+3</f>
        <v>6</v>
      </c>
      <c r="AH9" s="50">
        <f>AV9</f>
        <v>689</v>
      </c>
      <c r="AI9" s="120">
        <f>18+18+9+3</f>
        <v>48</v>
      </c>
      <c r="AJ9" s="96">
        <f t="shared" si="7"/>
        <v>695</v>
      </c>
      <c r="AK9" s="97">
        <f t="shared" si="8"/>
        <v>279.66666666666663</v>
      </c>
      <c r="AL9" s="22"/>
      <c r="AM9" s="50"/>
      <c r="AN9" s="50"/>
      <c r="AO9" s="50"/>
      <c r="AP9" s="50">
        <f>57+18</f>
        <v>75</v>
      </c>
      <c r="AQ9" s="50">
        <f>39</f>
        <v>39</v>
      </c>
      <c r="AR9" s="50">
        <f>39+3+3</f>
        <v>45</v>
      </c>
      <c r="AS9" s="22">
        <v>530</v>
      </c>
      <c r="AT9" s="95"/>
      <c r="AU9" s="96">
        <f>SUM(AM9:AS9)</f>
        <v>689</v>
      </c>
      <c r="AV9" s="97">
        <f>IF(C9=2015, AU9/3,AU9)+AT9</f>
        <v>689</v>
      </c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</row>
    <row r="10" spans="1:67" x14ac:dyDescent="0.25">
      <c r="A10" s="11" t="s">
        <v>564</v>
      </c>
      <c r="B10" s="60" t="s">
        <v>64</v>
      </c>
      <c r="C10" s="62">
        <v>2010</v>
      </c>
      <c r="D10" s="1">
        <f t="shared" si="0"/>
        <v>349</v>
      </c>
      <c r="E10" s="154">
        <f>51</f>
        <v>51</v>
      </c>
      <c r="F10" s="154"/>
      <c r="H10" s="280"/>
      <c r="I10" s="261">
        <f>57</f>
        <v>57</v>
      </c>
      <c r="J10" s="246">
        <v>78</v>
      </c>
      <c r="K10" s="241">
        <f>42</f>
        <v>42</v>
      </c>
      <c r="L10" s="231">
        <f>27</f>
        <v>27</v>
      </c>
      <c r="M10" s="231"/>
      <c r="N10" s="267">
        <f t="shared" si="1"/>
        <v>94</v>
      </c>
      <c r="P10" s="96">
        <f t="shared" si="2"/>
        <v>298</v>
      </c>
      <c r="Q10" s="97">
        <f t="shared" si="3"/>
        <v>298</v>
      </c>
      <c r="R10" s="231"/>
      <c r="S10" s="201"/>
      <c r="T10" s="192">
        <f>0</f>
        <v>0</v>
      </c>
      <c r="U10" s="183"/>
      <c r="V10" s="168"/>
      <c r="W10" s="50">
        <f>51</f>
        <v>51</v>
      </c>
      <c r="X10" s="50">
        <f>18+6</f>
        <v>24</v>
      </c>
      <c r="Y10" s="215">
        <f t="shared" si="4"/>
        <v>19</v>
      </c>
      <c r="Z10" s="120"/>
      <c r="AA10" s="96">
        <f t="shared" si="5"/>
        <v>94</v>
      </c>
      <c r="AB10" s="97">
        <f t="shared" si="6"/>
        <v>94</v>
      </c>
      <c r="AC10" s="22"/>
      <c r="AD10" s="215"/>
      <c r="AE10" s="50"/>
      <c r="AF10" s="50"/>
      <c r="AG10" s="50">
        <f>16+3</f>
        <v>19</v>
      </c>
      <c r="AH10" s="50"/>
      <c r="AI10" s="120"/>
      <c r="AJ10" s="96">
        <f t="shared" si="7"/>
        <v>19</v>
      </c>
      <c r="AK10" s="97">
        <f t="shared" si="8"/>
        <v>19</v>
      </c>
      <c r="AL10" s="22"/>
      <c r="AM10" s="41"/>
      <c r="AN10" s="41"/>
      <c r="AO10" s="41"/>
      <c r="AP10" s="41"/>
      <c r="AQ10" s="41"/>
      <c r="AR10" s="41"/>
      <c r="AT10" s="95"/>
      <c r="AU10" s="96"/>
      <c r="AV10" s="97"/>
    </row>
    <row r="11" spans="1:67" x14ac:dyDescent="0.25">
      <c r="A11" s="11" t="s">
        <v>26</v>
      </c>
      <c r="B11" s="11" t="s">
        <v>23</v>
      </c>
      <c r="C11" s="3">
        <v>2010</v>
      </c>
      <c r="D11" s="1">
        <f t="shared" si="0"/>
        <v>500</v>
      </c>
      <c r="F11" s="283"/>
      <c r="H11" s="280"/>
      <c r="I11" s="283"/>
      <c r="J11" s="283"/>
      <c r="K11" s="283"/>
      <c r="L11" s="283"/>
      <c r="M11" s="283"/>
      <c r="N11" s="267">
        <f t="shared" si="1"/>
        <v>500</v>
      </c>
      <c r="P11" s="96">
        <f t="shared" si="2"/>
        <v>500</v>
      </c>
      <c r="Q11" s="97">
        <f t="shared" si="3"/>
        <v>500</v>
      </c>
      <c r="R11" s="283"/>
      <c r="S11" s="201"/>
      <c r="T11" s="192">
        <f>36+3</f>
        <v>39</v>
      </c>
      <c r="U11" s="183"/>
      <c r="V11" s="168"/>
      <c r="W11" s="50"/>
      <c r="X11" s="50"/>
      <c r="Y11" s="215">
        <f t="shared" si="4"/>
        <v>461</v>
      </c>
      <c r="Z11" s="120"/>
      <c r="AA11" s="96">
        <f t="shared" si="5"/>
        <v>500</v>
      </c>
      <c r="AB11" s="97">
        <f t="shared" si="6"/>
        <v>500</v>
      </c>
      <c r="AC11" s="22"/>
      <c r="AD11" s="215"/>
      <c r="AE11" s="50"/>
      <c r="AF11" s="50">
        <f>207+45</f>
        <v>252</v>
      </c>
      <c r="AG11" s="50"/>
      <c r="AH11" s="50">
        <f>AV11</f>
        <v>209</v>
      </c>
      <c r="AI11" s="120"/>
      <c r="AJ11" s="96">
        <f t="shared" si="7"/>
        <v>461</v>
      </c>
      <c r="AK11" s="97">
        <f t="shared" si="8"/>
        <v>461</v>
      </c>
      <c r="AL11" s="22"/>
      <c r="AM11" s="283">
        <f>3</f>
        <v>3</v>
      </c>
      <c r="AN11" s="283"/>
      <c r="AO11" s="283"/>
      <c r="AP11" s="283"/>
      <c r="AQ11" s="283"/>
      <c r="AR11" s="283"/>
      <c r="AS11" s="283">
        <v>624</v>
      </c>
      <c r="AT11" s="95"/>
      <c r="AU11" s="96">
        <f t="shared" ref="AU11:AU24" si="9">SUM(AM11:AS11)</f>
        <v>627</v>
      </c>
      <c r="AV11" s="97">
        <f>IF(C11=2010, AU11/3,AU11)+AT11</f>
        <v>209</v>
      </c>
    </row>
    <row r="12" spans="1:67" s="52" customFormat="1" x14ac:dyDescent="0.25">
      <c r="A12" s="11" t="s">
        <v>91</v>
      </c>
      <c r="B12" s="60" t="s">
        <v>64</v>
      </c>
      <c r="C12" s="62">
        <v>2011</v>
      </c>
      <c r="D12" s="1">
        <f t="shared" si="0"/>
        <v>583</v>
      </c>
      <c r="E12" s="283">
        <f>48</f>
        <v>48</v>
      </c>
      <c r="F12" s="278"/>
      <c r="G12" s="120"/>
      <c r="H12" s="13"/>
      <c r="I12" s="261">
        <f>63+18</f>
        <v>81</v>
      </c>
      <c r="J12" s="246">
        <f>102+27</f>
        <v>129</v>
      </c>
      <c r="K12" s="241">
        <f>51+12</f>
        <v>63</v>
      </c>
      <c r="L12" s="228"/>
      <c r="M12" s="215"/>
      <c r="N12" s="267">
        <f t="shared" si="1"/>
        <v>262</v>
      </c>
      <c r="O12" s="120"/>
      <c r="P12" s="96">
        <f t="shared" si="2"/>
        <v>535</v>
      </c>
      <c r="Q12" s="97">
        <f t="shared" si="3"/>
        <v>535</v>
      </c>
      <c r="R12" s="215"/>
      <c r="S12" s="201"/>
      <c r="T12" s="192">
        <f>39+12</f>
        <v>51</v>
      </c>
      <c r="U12" s="183"/>
      <c r="V12" s="168"/>
      <c r="W12" s="50">
        <f>54+9+18</f>
        <v>81</v>
      </c>
      <c r="X12" s="50">
        <f>27+6+6</f>
        <v>39</v>
      </c>
      <c r="Y12" s="215">
        <f t="shared" si="4"/>
        <v>91</v>
      </c>
      <c r="Z12" s="120"/>
      <c r="AA12" s="96">
        <f t="shared" si="5"/>
        <v>262</v>
      </c>
      <c r="AB12" s="97">
        <f t="shared" si="6"/>
        <v>262</v>
      </c>
      <c r="AC12" s="283"/>
      <c r="AD12" s="283"/>
      <c r="AE12" s="50">
        <f>69</f>
        <v>69</v>
      </c>
      <c r="AF12" s="50">
        <f>90</f>
        <v>90</v>
      </c>
      <c r="AG12" s="50">
        <f>60</f>
        <v>60</v>
      </c>
      <c r="AH12" s="50">
        <f>AV12</f>
        <v>45</v>
      </c>
      <c r="AI12" s="120">
        <f>3</f>
        <v>3</v>
      </c>
      <c r="AJ12" s="96">
        <f t="shared" si="7"/>
        <v>264</v>
      </c>
      <c r="AK12" s="97">
        <f t="shared" si="8"/>
        <v>91</v>
      </c>
      <c r="AL12" s="22"/>
      <c r="AM12" s="228"/>
      <c r="AN12" s="228">
        <v>45</v>
      </c>
      <c r="AO12" s="228"/>
      <c r="AP12" s="228"/>
      <c r="AQ12" s="228"/>
      <c r="AR12" s="228"/>
      <c r="AS12" s="282"/>
      <c r="AT12" s="95"/>
      <c r="AU12" s="96">
        <f t="shared" si="9"/>
        <v>45</v>
      </c>
      <c r="AV12" s="97">
        <f>IF(C12=2015, AU12/3,AU12)+AT12</f>
        <v>45</v>
      </c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spans="1:67" s="52" customFormat="1" x14ac:dyDescent="0.25">
      <c r="A13" s="11" t="s">
        <v>304</v>
      </c>
      <c r="B13" s="60" t="s">
        <v>0</v>
      </c>
      <c r="C13" s="62">
        <v>2010</v>
      </c>
      <c r="D13" s="1">
        <f t="shared" si="0"/>
        <v>326</v>
      </c>
      <c r="E13" s="283">
        <f>6</f>
        <v>6</v>
      </c>
      <c r="F13" s="278"/>
      <c r="G13" s="120">
        <f>6</f>
        <v>6</v>
      </c>
      <c r="H13" s="280"/>
      <c r="I13" s="261">
        <f>54</f>
        <v>54</v>
      </c>
      <c r="J13" s="246"/>
      <c r="K13" s="241">
        <f>38+14</f>
        <v>52</v>
      </c>
      <c r="L13" s="228">
        <f>3+4</f>
        <v>7</v>
      </c>
      <c r="M13" s="215"/>
      <c r="N13" s="267">
        <f t="shared" si="1"/>
        <v>207</v>
      </c>
      <c r="O13" s="120"/>
      <c r="P13" s="96">
        <f t="shared" si="2"/>
        <v>320</v>
      </c>
      <c r="Q13" s="97">
        <f t="shared" si="3"/>
        <v>320</v>
      </c>
      <c r="R13" s="215"/>
      <c r="S13" s="201">
        <f>22+6</f>
        <v>28</v>
      </c>
      <c r="T13" s="192">
        <f>6+6</f>
        <v>12</v>
      </c>
      <c r="U13" s="183"/>
      <c r="V13" s="168">
        <f>16</f>
        <v>16</v>
      </c>
      <c r="W13" s="50">
        <f>6</f>
        <v>6</v>
      </c>
      <c r="X13" s="50">
        <f>32+3</f>
        <v>35</v>
      </c>
      <c r="Y13" s="215">
        <f t="shared" si="4"/>
        <v>107</v>
      </c>
      <c r="Z13" s="120">
        <f>3</f>
        <v>3</v>
      </c>
      <c r="AA13" s="96">
        <f t="shared" si="5"/>
        <v>204</v>
      </c>
      <c r="AB13" s="97">
        <f t="shared" si="6"/>
        <v>207</v>
      </c>
      <c r="AC13" s="22"/>
      <c r="AD13" s="50">
        <f>24</f>
        <v>24</v>
      </c>
      <c r="AE13" s="50">
        <f>16</f>
        <v>16</v>
      </c>
      <c r="AF13" s="50">
        <f>39</f>
        <v>39</v>
      </c>
      <c r="AG13" s="50"/>
      <c r="AH13" s="50">
        <f>AV13</f>
        <v>28</v>
      </c>
      <c r="AI13" s="120"/>
      <c r="AJ13" s="96">
        <f t="shared" si="7"/>
        <v>107</v>
      </c>
      <c r="AK13" s="97">
        <f t="shared" si="8"/>
        <v>107</v>
      </c>
      <c r="AL13" s="22"/>
      <c r="AM13" s="41"/>
      <c r="AN13" s="41"/>
      <c r="AO13" s="41"/>
      <c r="AP13" s="41">
        <f>36</f>
        <v>36</v>
      </c>
      <c r="AQ13" s="41">
        <f>45</f>
        <v>45</v>
      </c>
      <c r="AR13" s="41">
        <f>3</f>
        <v>3</v>
      </c>
      <c r="AS13" s="13"/>
      <c r="AT13" s="95"/>
      <c r="AU13" s="96">
        <f t="shared" si="9"/>
        <v>84</v>
      </c>
      <c r="AV13" s="97">
        <f>IF(C13=2010, AU13/3,AU13)+AT13</f>
        <v>28</v>
      </c>
    </row>
    <row r="14" spans="1:67" s="52" customFormat="1" x14ac:dyDescent="0.25">
      <c r="A14" s="11" t="s">
        <v>1440</v>
      </c>
      <c r="B14" s="60" t="s">
        <v>23</v>
      </c>
      <c r="C14" s="62">
        <v>2010</v>
      </c>
      <c r="D14" s="1">
        <f t="shared" si="0"/>
        <v>331</v>
      </c>
      <c r="E14" s="283">
        <f>24+27</f>
        <v>51</v>
      </c>
      <c r="F14" s="278"/>
      <c r="G14" s="120"/>
      <c r="H14" s="13"/>
      <c r="I14" s="261"/>
      <c r="J14" s="256"/>
      <c r="K14" s="256"/>
      <c r="L14" s="256"/>
      <c r="M14" s="256"/>
      <c r="N14" s="267">
        <f t="shared" si="1"/>
        <v>280</v>
      </c>
      <c r="O14" s="120"/>
      <c r="P14" s="96">
        <f t="shared" si="2"/>
        <v>280</v>
      </c>
      <c r="Q14" s="97">
        <f t="shared" si="3"/>
        <v>280</v>
      </c>
      <c r="R14" s="256"/>
      <c r="S14" s="201"/>
      <c r="T14" s="192">
        <f>18+3</f>
        <v>21</v>
      </c>
      <c r="U14" s="183"/>
      <c r="V14" s="168"/>
      <c r="W14" s="50"/>
      <c r="X14" s="50"/>
      <c r="Y14" s="215">
        <f t="shared" si="4"/>
        <v>259</v>
      </c>
      <c r="Z14" s="120"/>
      <c r="AA14" s="96">
        <f t="shared" si="5"/>
        <v>280</v>
      </c>
      <c r="AB14" s="97">
        <f t="shared" si="6"/>
        <v>280</v>
      </c>
      <c r="AC14" s="267"/>
      <c r="AD14" s="50"/>
      <c r="AE14" s="50"/>
      <c r="AF14" s="50">
        <f>84+57</f>
        <v>141</v>
      </c>
      <c r="AG14" s="50"/>
      <c r="AH14" s="50">
        <f>118</f>
        <v>118</v>
      </c>
      <c r="AI14" s="120"/>
      <c r="AJ14" s="96">
        <f t="shared" si="7"/>
        <v>259</v>
      </c>
      <c r="AK14" s="97">
        <f t="shared" si="8"/>
        <v>259</v>
      </c>
      <c r="AL14" s="22"/>
      <c r="AM14" s="267"/>
      <c r="AN14" s="267"/>
      <c r="AO14" s="267"/>
      <c r="AP14" s="267"/>
      <c r="AQ14" s="267"/>
      <c r="AR14" s="267"/>
      <c r="AS14" s="265"/>
      <c r="AT14" s="95"/>
      <c r="AU14" s="96">
        <f t="shared" si="9"/>
        <v>0</v>
      </c>
      <c r="AV14" s="97">
        <f>IF(C14=2010, AU14/3,AU14)+AT14</f>
        <v>0</v>
      </c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spans="1:67" x14ac:dyDescent="0.25">
      <c r="A15" s="71" t="s">
        <v>618</v>
      </c>
      <c r="B15" s="71" t="s">
        <v>64</v>
      </c>
      <c r="C15" s="72">
        <v>2012</v>
      </c>
      <c r="D15" s="1">
        <f t="shared" si="0"/>
        <v>400</v>
      </c>
      <c r="E15" s="154">
        <f>81+21</f>
        <v>102</v>
      </c>
      <c r="F15" s="154"/>
      <c r="H15" s="280"/>
      <c r="I15" s="261">
        <f>51+12</f>
        <v>63</v>
      </c>
      <c r="J15" s="246">
        <f>78+21</f>
        <v>99</v>
      </c>
      <c r="N15" s="267">
        <f t="shared" si="1"/>
        <v>136</v>
      </c>
      <c r="P15" s="96">
        <f t="shared" si="2"/>
        <v>298</v>
      </c>
      <c r="Q15" s="97">
        <f t="shared" si="3"/>
        <v>298</v>
      </c>
      <c r="S15" s="201"/>
      <c r="T15" s="192">
        <f>60+9</f>
        <v>69</v>
      </c>
      <c r="U15" s="183"/>
      <c r="V15" s="168"/>
      <c r="W15" s="50">
        <f>63+9+3</f>
        <v>75</v>
      </c>
      <c r="X15" s="50">
        <f>51</f>
        <v>51</v>
      </c>
      <c r="Y15" s="215">
        <f t="shared" si="4"/>
        <v>213</v>
      </c>
      <c r="Z15" s="152"/>
      <c r="AA15" s="96">
        <f t="shared" si="5"/>
        <v>408</v>
      </c>
      <c r="AB15" s="97">
        <f t="shared" si="6"/>
        <v>136</v>
      </c>
      <c r="AC15" s="284"/>
      <c r="AD15" s="284"/>
      <c r="AE15" s="50">
        <f>30+48</f>
        <v>78</v>
      </c>
      <c r="AF15" s="50">
        <f>90+45</f>
        <v>135</v>
      </c>
      <c r="AG15" s="50"/>
      <c r="AH15" s="50"/>
      <c r="AI15" s="120"/>
      <c r="AJ15" s="96">
        <f t="shared" si="7"/>
        <v>213</v>
      </c>
      <c r="AK15" s="97">
        <f t="shared" si="8"/>
        <v>213</v>
      </c>
      <c r="AL15" s="22"/>
      <c r="AM15" s="50"/>
      <c r="AN15" s="50"/>
      <c r="AO15" s="50"/>
      <c r="AP15" s="50"/>
      <c r="AQ15" s="50"/>
      <c r="AR15" s="50"/>
      <c r="AS15" s="282"/>
      <c r="AT15" s="95"/>
      <c r="AU15" s="96">
        <f t="shared" si="9"/>
        <v>0</v>
      </c>
      <c r="AV15" s="97">
        <f>IF(C15=2015, AU15/3,AU15)+AT15</f>
        <v>0</v>
      </c>
    </row>
    <row r="16" spans="1:67" x14ac:dyDescent="0.25">
      <c r="A16" s="11" t="s">
        <v>330</v>
      </c>
      <c r="B16" s="11" t="s">
        <v>0</v>
      </c>
      <c r="C16" s="3">
        <v>2010</v>
      </c>
      <c r="D16" s="1">
        <f t="shared" si="0"/>
        <v>735</v>
      </c>
      <c r="E16" s="283">
        <f>42+24</f>
        <v>66</v>
      </c>
      <c r="H16" s="280"/>
      <c r="I16" s="154">
        <f>18+9</f>
        <v>27</v>
      </c>
      <c r="J16" s="154">
        <f>48+21</f>
        <v>69</v>
      </c>
      <c r="K16" s="154">
        <f>12+9</f>
        <v>21</v>
      </c>
      <c r="L16" s="154">
        <f>9+30</f>
        <v>39</v>
      </c>
      <c r="M16" s="154"/>
      <c r="N16" s="267">
        <f t="shared" si="1"/>
        <v>513</v>
      </c>
      <c r="P16" s="96">
        <f t="shared" si="2"/>
        <v>669</v>
      </c>
      <c r="Q16" s="97">
        <f t="shared" si="3"/>
        <v>669</v>
      </c>
      <c r="R16" s="154"/>
      <c r="S16" s="201">
        <f>21</f>
        <v>21</v>
      </c>
      <c r="T16" s="192">
        <f>27+9</f>
        <v>36</v>
      </c>
      <c r="U16" s="183">
        <f>15+6</f>
        <v>21</v>
      </c>
      <c r="V16" s="168">
        <f>3</f>
        <v>3</v>
      </c>
      <c r="W16" s="50"/>
      <c r="X16" s="50">
        <f>30+3+3</f>
        <v>36</v>
      </c>
      <c r="Y16" s="215">
        <f t="shared" si="4"/>
        <v>393</v>
      </c>
      <c r="Z16" s="120">
        <f>3</f>
        <v>3</v>
      </c>
      <c r="AA16" s="96">
        <f t="shared" si="5"/>
        <v>510</v>
      </c>
      <c r="AB16" s="97">
        <f t="shared" si="6"/>
        <v>513</v>
      </c>
      <c r="AC16" s="22"/>
      <c r="AD16" s="50">
        <f>3+3</f>
        <v>6</v>
      </c>
      <c r="AE16" s="50">
        <f>21+18</f>
        <v>39</v>
      </c>
      <c r="AF16" s="50">
        <f>39</f>
        <v>39</v>
      </c>
      <c r="AG16" s="50">
        <f>8+18</f>
        <v>26</v>
      </c>
      <c r="AH16" s="50">
        <f t="shared" ref="AH16:AH24" si="10">AV16</f>
        <v>283</v>
      </c>
      <c r="AI16" s="120"/>
      <c r="AJ16" s="96">
        <f t="shared" si="7"/>
        <v>393</v>
      </c>
      <c r="AK16" s="97">
        <f t="shared" si="8"/>
        <v>393</v>
      </c>
      <c r="AL16" s="22"/>
      <c r="AM16" s="50"/>
      <c r="AN16" s="50"/>
      <c r="AO16" s="50"/>
      <c r="AP16" s="50">
        <f>27+18</f>
        <v>45</v>
      </c>
      <c r="AQ16" s="50">
        <f>12+39</f>
        <v>51</v>
      </c>
      <c r="AR16" s="50">
        <f>51+39+3+3</f>
        <v>96</v>
      </c>
      <c r="AS16" s="50">
        <f>657</f>
        <v>657</v>
      </c>
      <c r="AT16" s="95"/>
      <c r="AU16" s="96">
        <f t="shared" si="9"/>
        <v>849</v>
      </c>
      <c r="AV16" s="97">
        <f>IF(C16=2010, AU16/3,AU16)+AT16</f>
        <v>283</v>
      </c>
    </row>
    <row r="17" spans="1:67" s="52" customFormat="1" x14ac:dyDescent="0.25">
      <c r="A17" s="11" t="s">
        <v>329</v>
      </c>
      <c r="B17" s="11" t="s">
        <v>0</v>
      </c>
      <c r="C17" s="3">
        <v>2012</v>
      </c>
      <c r="D17" s="1">
        <f t="shared" si="0"/>
        <v>491.33333333333331</v>
      </c>
      <c r="E17" s="283">
        <f>54</f>
        <v>54</v>
      </c>
      <c r="F17" s="278"/>
      <c r="G17" s="120"/>
      <c r="H17" s="284"/>
      <c r="I17" s="261">
        <f>30</f>
        <v>30</v>
      </c>
      <c r="J17" s="246">
        <v>51</v>
      </c>
      <c r="K17" s="241">
        <f>0</f>
        <v>0</v>
      </c>
      <c r="L17" s="228">
        <f>3</f>
        <v>3</v>
      </c>
      <c r="M17" s="215"/>
      <c r="N17" s="267">
        <f t="shared" si="1"/>
        <v>353.33333333333331</v>
      </c>
      <c r="O17" s="120"/>
      <c r="P17" s="96">
        <f t="shared" si="2"/>
        <v>437.33333333333331</v>
      </c>
      <c r="Q17" s="97">
        <f t="shared" si="3"/>
        <v>437.33333333333331</v>
      </c>
      <c r="R17" s="215"/>
      <c r="S17" s="201">
        <f>108</f>
        <v>108</v>
      </c>
      <c r="T17" s="192">
        <f>0</f>
        <v>0</v>
      </c>
      <c r="U17" s="183">
        <f>3+6+6+3</f>
        <v>18</v>
      </c>
      <c r="V17" s="168">
        <f>42+3+6+9</f>
        <v>60</v>
      </c>
      <c r="W17" s="50"/>
      <c r="X17" s="50">
        <f>45+3+6</f>
        <v>54</v>
      </c>
      <c r="Y17" s="215">
        <f t="shared" si="4"/>
        <v>820</v>
      </c>
      <c r="Z17" s="120"/>
      <c r="AA17" s="96">
        <f t="shared" si="5"/>
        <v>1060</v>
      </c>
      <c r="AB17" s="97">
        <f t="shared" si="6"/>
        <v>353.33333333333331</v>
      </c>
      <c r="AC17" s="284"/>
      <c r="AD17" s="284"/>
      <c r="AE17" s="50">
        <f>66+42</f>
        <v>108</v>
      </c>
      <c r="AF17" s="50">
        <f>165+39</f>
        <v>204</v>
      </c>
      <c r="AG17" s="50">
        <f>24+51+3+3</f>
        <v>81</v>
      </c>
      <c r="AH17" s="50">
        <f t="shared" si="10"/>
        <v>427</v>
      </c>
      <c r="AI17" s="120"/>
      <c r="AJ17" s="96">
        <f t="shared" si="7"/>
        <v>820</v>
      </c>
      <c r="AK17" s="97">
        <f t="shared" si="8"/>
        <v>820</v>
      </c>
      <c r="AL17" s="22"/>
      <c r="AM17" s="231"/>
      <c r="AN17" s="231"/>
      <c r="AO17" s="231"/>
      <c r="AP17" s="231">
        <f>48+21</f>
        <v>69</v>
      </c>
      <c r="AQ17" s="231">
        <f>18+36</f>
        <v>54</v>
      </c>
      <c r="AR17" s="231">
        <f>51+63+3+3</f>
        <v>120</v>
      </c>
      <c r="AS17" s="283">
        <f>184</f>
        <v>184</v>
      </c>
      <c r="AT17" s="95"/>
      <c r="AU17" s="96">
        <f t="shared" si="9"/>
        <v>427</v>
      </c>
      <c r="AV17" s="97">
        <f>IF(C17=2015, AU17/3,AU17)+AT17</f>
        <v>427</v>
      </c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spans="1:67" x14ac:dyDescent="0.25">
      <c r="A18" s="51" t="s">
        <v>48</v>
      </c>
      <c r="B18" s="51" t="s">
        <v>6</v>
      </c>
      <c r="C18" s="52">
        <v>2012</v>
      </c>
      <c r="D18" s="1">
        <f t="shared" si="0"/>
        <v>502.33333333333337</v>
      </c>
      <c r="E18" s="283">
        <f>63+21</f>
        <v>84</v>
      </c>
      <c r="F18" s="278">
        <f>6</f>
        <v>6</v>
      </c>
      <c r="H18" s="280"/>
      <c r="J18" s="246">
        <f>78+36</f>
        <v>114</v>
      </c>
      <c r="K18" s="241">
        <f>33+12</f>
        <v>45</v>
      </c>
      <c r="L18" s="231">
        <f>30+24</f>
        <v>54</v>
      </c>
      <c r="M18" s="231"/>
      <c r="N18" s="267">
        <f t="shared" si="1"/>
        <v>205.33333333333334</v>
      </c>
      <c r="P18" s="96">
        <f t="shared" si="2"/>
        <v>418.33333333333337</v>
      </c>
      <c r="Q18" s="97">
        <f t="shared" si="3"/>
        <v>418.33333333333337</v>
      </c>
      <c r="R18" s="231"/>
      <c r="S18" s="201"/>
      <c r="T18" s="192"/>
      <c r="U18" s="183"/>
      <c r="V18" s="168"/>
      <c r="W18" s="50"/>
      <c r="X18" s="256"/>
      <c r="Y18" s="215">
        <f t="shared" si="4"/>
        <v>616</v>
      </c>
      <c r="Z18" s="120"/>
      <c r="AA18" s="96">
        <f t="shared" si="5"/>
        <v>616</v>
      </c>
      <c r="AB18" s="97">
        <f t="shared" si="6"/>
        <v>205.33333333333334</v>
      </c>
      <c r="AC18" s="284"/>
      <c r="AD18" s="284"/>
      <c r="AE18" s="50"/>
      <c r="AF18" s="50">
        <f>147+54</f>
        <v>201</v>
      </c>
      <c r="AG18" s="50">
        <f>72</f>
        <v>72</v>
      </c>
      <c r="AH18" s="50">
        <f t="shared" si="10"/>
        <v>343</v>
      </c>
      <c r="AI18" s="120"/>
      <c r="AJ18" s="96">
        <f>SUM(AE18:AH18)</f>
        <v>616</v>
      </c>
      <c r="AK18" s="97">
        <f>IF(C18=2016, AJ18/3,AJ18)+AI18</f>
        <v>616</v>
      </c>
      <c r="AL18" s="22"/>
      <c r="AM18" s="283">
        <f>0</f>
        <v>0</v>
      </c>
      <c r="AN18" s="283"/>
      <c r="AO18" s="283">
        <f>87</f>
        <v>87</v>
      </c>
      <c r="AP18" s="283">
        <f>84</f>
        <v>84</v>
      </c>
      <c r="AQ18" s="283">
        <f>24</f>
        <v>24</v>
      </c>
      <c r="AR18" s="283">
        <f>51+30</f>
        <v>81</v>
      </c>
      <c r="AS18" s="283">
        <v>67</v>
      </c>
      <c r="AT18" s="95"/>
      <c r="AU18" s="96">
        <f t="shared" si="9"/>
        <v>343</v>
      </c>
      <c r="AV18" s="97">
        <f>IF(C18=2015, AU18/3,AU18)+AT18</f>
        <v>343</v>
      </c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</row>
    <row r="19" spans="1:67" x14ac:dyDescent="0.25">
      <c r="A19" s="11" t="s">
        <v>90</v>
      </c>
      <c r="B19" s="64" t="s">
        <v>85</v>
      </c>
      <c r="C19" s="62">
        <v>2012</v>
      </c>
      <c r="D19" s="1">
        <f t="shared" si="0"/>
        <v>416.66666666666663</v>
      </c>
      <c r="E19" s="154">
        <f>84+21</f>
        <v>105</v>
      </c>
      <c r="F19" s="154"/>
      <c r="H19" s="280"/>
      <c r="I19" s="267">
        <f>66+12</f>
        <v>78</v>
      </c>
      <c r="J19" s="267">
        <f>69+21</f>
        <v>90</v>
      </c>
      <c r="K19" s="267"/>
      <c r="L19" s="267"/>
      <c r="M19" s="267"/>
      <c r="N19" s="267">
        <f t="shared" si="1"/>
        <v>143.66666666666666</v>
      </c>
      <c r="P19" s="96">
        <f t="shared" si="2"/>
        <v>311.66666666666663</v>
      </c>
      <c r="Q19" s="97">
        <f t="shared" si="3"/>
        <v>311.66666666666663</v>
      </c>
      <c r="R19" s="267"/>
      <c r="S19" s="201"/>
      <c r="T19" s="192">
        <f>63+9</f>
        <v>72</v>
      </c>
      <c r="U19" s="183"/>
      <c r="V19" s="168"/>
      <c r="W19" s="50"/>
      <c r="X19" s="50"/>
      <c r="Y19" s="215">
        <f t="shared" si="4"/>
        <v>359</v>
      </c>
      <c r="Z19" s="120"/>
      <c r="AA19" s="96">
        <f t="shared" si="5"/>
        <v>431</v>
      </c>
      <c r="AB19" s="97">
        <f t="shared" si="6"/>
        <v>143.66666666666666</v>
      </c>
      <c r="AC19" s="269"/>
      <c r="AD19" s="269"/>
      <c r="AE19" s="50">
        <f>78+48</f>
        <v>126</v>
      </c>
      <c r="AF19" s="50">
        <f>135+45</f>
        <v>180</v>
      </c>
      <c r="AG19" s="50"/>
      <c r="AH19" s="50">
        <f t="shared" si="10"/>
        <v>53</v>
      </c>
      <c r="AI19" s="120"/>
      <c r="AJ19" s="96">
        <f>SUM(AD19:AH19)</f>
        <v>359</v>
      </c>
      <c r="AK19" s="97">
        <f>IF(C19=2011, AJ19/3,AJ19)+AI19</f>
        <v>359</v>
      </c>
      <c r="AL19" s="22"/>
      <c r="AM19" s="267"/>
      <c r="AN19" s="267">
        <v>48</v>
      </c>
      <c r="AO19" s="267"/>
      <c r="AP19" s="267"/>
      <c r="AQ19" s="267"/>
      <c r="AR19" s="267"/>
      <c r="AS19" s="265">
        <f>5</f>
        <v>5</v>
      </c>
      <c r="AT19" s="95"/>
      <c r="AU19" s="96">
        <f t="shared" si="9"/>
        <v>53</v>
      </c>
      <c r="AV19" s="97">
        <f>IF(C19=2015, AU19/3,AU19)+AT19</f>
        <v>53</v>
      </c>
    </row>
    <row r="20" spans="1:67" x14ac:dyDescent="0.25">
      <c r="A20" s="11" t="s">
        <v>303</v>
      </c>
      <c r="B20" s="11" t="s">
        <v>6</v>
      </c>
      <c r="C20" s="3">
        <v>2010</v>
      </c>
      <c r="D20" s="1">
        <f t="shared" si="0"/>
        <v>416</v>
      </c>
      <c r="E20" s="283">
        <f>24+21</f>
        <v>45</v>
      </c>
      <c r="F20" s="278">
        <f>12</f>
        <v>12</v>
      </c>
      <c r="H20" s="280"/>
      <c r="I20" s="283">
        <f>30</f>
        <v>30</v>
      </c>
      <c r="J20" s="283">
        <f>46+36</f>
        <v>82</v>
      </c>
      <c r="K20" s="283">
        <f>44+12</f>
        <v>56</v>
      </c>
      <c r="L20" s="283">
        <f>15+24</f>
        <v>39</v>
      </c>
      <c r="M20" s="283"/>
      <c r="N20" s="267">
        <f t="shared" si="1"/>
        <v>164</v>
      </c>
      <c r="P20" s="96">
        <f t="shared" si="2"/>
        <v>371</v>
      </c>
      <c r="Q20" s="97">
        <f t="shared" si="3"/>
        <v>371</v>
      </c>
      <c r="R20" s="283"/>
      <c r="S20" s="201"/>
      <c r="T20" s="192"/>
      <c r="U20" s="183"/>
      <c r="V20" s="168"/>
      <c r="W20" s="50"/>
      <c r="X20" s="50"/>
      <c r="Y20" s="215">
        <f t="shared" si="4"/>
        <v>164</v>
      </c>
      <c r="Z20" s="120"/>
      <c r="AA20" s="96">
        <f t="shared" si="5"/>
        <v>164</v>
      </c>
      <c r="AB20" s="97">
        <f t="shared" si="6"/>
        <v>164</v>
      </c>
      <c r="AC20" s="22"/>
      <c r="AD20" s="50"/>
      <c r="AE20" s="50">
        <f>0</f>
        <v>0</v>
      </c>
      <c r="AF20" s="50">
        <f>43</f>
        <v>43</v>
      </c>
      <c r="AG20" s="50">
        <f>29+12</f>
        <v>41</v>
      </c>
      <c r="AH20" s="50">
        <f t="shared" si="10"/>
        <v>74</v>
      </c>
      <c r="AI20" s="120">
        <f>6</f>
        <v>6</v>
      </c>
      <c r="AJ20" s="96">
        <f>SUM(AD20:AH20)</f>
        <v>158</v>
      </c>
      <c r="AK20" s="97">
        <f>IF(C20=2011, AJ20/3,AJ20)+AI20</f>
        <v>164</v>
      </c>
      <c r="AL20" s="22"/>
      <c r="AM20" s="228"/>
      <c r="AN20" s="228"/>
      <c r="AO20" s="228"/>
      <c r="AP20" s="228">
        <f>36+9</f>
        <v>45</v>
      </c>
      <c r="AQ20" s="228">
        <f>51</f>
        <v>51</v>
      </c>
      <c r="AR20" s="228">
        <f>51+39</f>
        <v>90</v>
      </c>
      <c r="AS20" s="282"/>
      <c r="AT20" s="95">
        <f>12</f>
        <v>12</v>
      </c>
      <c r="AU20" s="96">
        <f t="shared" si="9"/>
        <v>186</v>
      </c>
      <c r="AV20" s="97">
        <f>IF(C20=2010, AU20/3,AU20)+AT20</f>
        <v>74</v>
      </c>
    </row>
    <row r="21" spans="1:67" x14ac:dyDescent="0.25">
      <c r="A21" s="11" t="s">
        <v>92</v>
      </c>
      <c r="B21" s="60" t="s">
        <v>64</v>
      </c>
      <c r="C21" s="62">
        <v>2013</v>
      </c>
      <c r="D21" s="1">
        <f t="shared" si="0"/>
        <v>435</v>
      </c>
      <c r="E21" s="283">
        <f>69+24</f>
        <v>93</v>
      </c>
      <c r="H21" s="280"/>
      <c r="I21" s="261">
        <f>114+6</f>
        <v>120</v>
      </c>
      <c r="J21" s="246">
        <f>81+27</f>
        <v>108</v>
      </c>
      <c r="K21" s="241">
        <f>54+21</f>
        <v>75</v>
      </c>
      <c r="L21" s="228">
        <f>117+45</f>
        <v>162</v>
      </c>
      <c r="N21" s="267">
        <f t="shared" si="1"/>
        <v>561</v>
      </c>
      <c r="P21" s="96">
        <f t="shared" si="2"/>
        <v>1026</v>
      </c>
      <c r="Q21" s="97">
        <f t="shared" si="3"/>
        <v>342</v>
      </c>
      <c r="S21" s="201"/>
      <c r="T21" s="192"/>
      <c r="U21" s="183"/>
      <c r="V21" s="168">
        <f>57+18+9+6</f>
        <v>90</v>
      </c>
      <c r="W21" s="50">
        <f>66+18</f>
        <v>84</v>
      </c>
      <c r="X21" s="50">
        <f>24</f>
        <v>24</v>
      </c>
      <c r="Y21" s="215">
        <f t="shared" si="4"/>
        <v>363</v>
      </c>
      <c r="Z21" s="120"/>
      <c r="AA21" s="96">
        <f>AM21+S21+T21+U21+V21+W21+X21+Y21</f>
        <v>561</v>
      </c>
      <c r="AB21" s="97">
        <f>IF(C21=2017, AA21/3,AA21)+Z21</f>
        <v>561</v>
      </c>
      <c r="AC21" s="205"/>
      <c r="AD21" s="205"/>
      <c r="AE21" s="50">
        <f>45</f>
        <v>45</v>
      </c>
      <c r="AF21" s="50">
        <f>147</f>
        <v>147</v>
      </c>
      <c r="AG21" s="50">
        <f>39+6</f>
        <v>45</v>
      </c>
      <c r="AH21" s="50">
        <f t="shared" si="10"/>
        <v>126</v>
      </c>
      <c r="AI21" s="120"/>
      <c r="AJ21" s="96">
        <f>SUM(AE21:AH21)</f>
        <v>363</v>
      </c>
      <c r="AK21" s="97">
        <f>IF(C21=2016, AJ21/3,AJ21)+AI21</f>
        <v>363</v>
      </c>
      <c r="AL21" s="22"/>
      <c r="AM21" s="50"/>
      <c r="AN21" s="50">
        <f>42+6</f>
        <v>48</v>
      </c>
      <c r="AO21" s="50">
        <f>72+6</f>
        <v>78</v>
      </c>
      <c r="AP21" s="50"/>
      <c r="AQ21" s="50"/>
      <c r="AR21" s="50"/>
      <c r="AS21" s="282"/>
      <c r="AT21" s="95"/>
      <c r="AU21" s="96">
        <f t="shared" si="9"/>
        <v>126</v>
      </c>
      <c r="AV21" s="97">
        <f>IF(C21=2015, AU21/3,AU21)+AT21</f>
        <v>126</v>
      </c>
    </row>
    <row r="22" spans="1:67" x14ac:dyDescent="0.25">
      <c r="A22" s="11" t="s">
        <v>332</v>
      </c>
      <c r="B22" s="64" t="s">
        <v>0</v>
      </c>
      <c r="C22" s="62">
        <v>2013</v>
      </c>
      <c r="D22" s="1">
        <f t="shared" si="0"/>
        <v>386.66666666666669</v>
      </c>
      <c r="E22" s="283">
        <f>78</f>
        <v>78</v>
      </c>
      <c r="H22" s="280"/>
      <c r="I22" s="261">
        <f>108</f>
        <v>108</v>
      </c>
      <c r="J22" s="246">
        <f>81+21</f>
        <v>102</v>
      </c>
      <c r="K22" s="241">
        <f>99+6</f>
        <v>105</v>
      </c>
      <c r="L22" s="231">
        <f>102+42</f>
        <v>144</v>
      </c>
      <c r="M22" s="231"/>
      <c r="N22" s="267">
        <f t="shared" si="1"/>
        <v>467</v>
      </c>
      <c r="P22" s="96">
        <f t="shared" si="2"/>
        <v>926</v>
      </c>
      <c r="Q22" s="97">
        <f t="shared" si="3"/>
        <v>308.66666666666669</v>
      </c>
      <c r="R22" s="231"/>
      <c r="S22" s="201"/>
      <c r="T22" s="192">
        <f>42</f>
        <v>42</v>
      </c>
      <c r="U22" s="183">
        <f>42+3</f>
        <v>45</v>
      </c>
      <c r="V22" s="168">
        <f>42+9</f>
        <v>51</v>
      </c>
      <c r="W22" s="50"/>
      <c r="X22" s="50">
        <f>36+3+6</f>
        <v>45</v>
      </c>
      <c r="Y22" s="215">
        <f t="shared" si="4"/>
        <v>284</v>
      </c>
      <c r="Z22" s="120"/>
      <c r="AA22" s="96">
        <f>AM22+S22+T22+U22+V22+W22+X22+Y22</f>
        <v>467</v>
      </c>
      <c r="AB22" s="97">
        <f>IF(C22=2017, AA22/3,AA22)+Z22</f>
        <v>467</v>
      </c>
      <c r="AC22" s="232"/>
      <c r="AD22" s="232"/>
      <c r="AE22" s="50">
        <f>36</f>
        <v>36</v>
      </c>
      <c r="AF22" s="50">
        <f>42</f>
        <v>42</v>
      </c>
      <c r="AG22" s="50">
        <f>44+3</f>
        <v>47</v>
      </c>
      <c r="AH22" s="50">
        <f t="shared" si="10"/>
        <v>159</v>
      </c>
      <c r="AI22" s="120"/>
      <c r="AJ22" s="96">
        <f>SUM(AE22:AH22)</f>
        <v>284</v>
      </c>
      <c r="AK22" s="97">
        <f>IF(C22=2016, AJ22/3,AJ22)+AI22</f>
        <v>284</v>
      </c>
      <c r="AL22" s="22"/>
      <c r="AM22" s="231"/>
      <c r="AN22" s="231"/>
      <c r="AO22" s="231"/>
      <c r="AP22" s="231">
        <f>21</f>
        <v>21</v>
      </c>
      <c r="AQ22" s="231">
        <f>6</f>
        <v>6</v>
      </c>
      <c r="AR22" s="231">
        <f>28+3</f>
        <v>31</v>
      </c>
      <c r="AS22" s="282">
        <v>101</v>
      </c>
      <c r="AT22" s="95"/>
      <c r="AU22" s="96">
        <f t="shared" si="9"/>
        <v>159</v>
      </c>
      <c r="AV22" s="97">
        <f>IF(C22=2015, AU22/3,AU22)+AT22</f>
        <v>159</v>
      </c>
    </row>
    <row r="23" spans="1:67" x14ac:dyDescent="0.25">
      <c r="A23" s="11" t="s">
        <v>392</v>
      </c>
      <c r="B23" s="60" t="s">
        <v>63</v>
      </c>
      <c r="C23" s="62">
        <v>2011</v>
      </c>
      <c r="D23" s="1">
        <f t="shared" si="0"/>
        <v>694</v>
      </c>
      <c r="E23" s="283">
        <f>39</f>
        <v>39</v>
      </c>
      <c r="F23" s="283">
        <f>6</f>
        <v>6</v>
      </c>
      <c r="I23" s="156">
        <f>42+15</f>
        <v>57</v>
      </c>
      <c r="J23" s="156">
        <v>96</v>
      </c>
      <c r="K23" s="156">
        <f>39+3</f>
        <v>42</v>
      </c>
      <c r="L23" s="156">
        <f>12+33</f>
        <v>45</v>
      </c>
      <c r="M23" s="156">
        <f>27+3</f>
        <v>30</v>
      </c>
      <c r="N23" s="267">
        <f t="shared" si="1"/>
        <v>415</v>
      </c>
      <c r="P23" s="96">
        <f t="shared" si="2"/>
        <v>655</v>
      </c>
      <c r="Q23" s="97">
        <f t="shared" si="3"/>
        <v>655</v>
      </c>
      <c r="R23" s="156"/>
      <c r="S23" s="201">
        <f>24+3</f>
        <v>27</v>
      </c>
      <c r="T23" s="192">
        <f>30+6</f>
        <v>36</v>
      </c>
      <c r="U23" s="183">
        <f>9+3</f>
        <v>12</v>
      </c>
      <c r="V23" s="168">
        <f>42+6+6+6</f>
        <v>60</v>
      </c>
      <c r="W23" s="50">
        <f>46+10+3+6</f>
        <v>65</v>
      </c>
      <c r="X23" s="50">
        <f>44+10+9</f>
        <v>63</v>
      </c>
      <c r="Y23" s="215">
        <f t="shared" si="4"/>
        <v>152</v>
      </c>
      <c r="Z23" s="120"/>
      <c r="AA23" s="96">
        <f>S23+T23+U23+V23+W23+X23+Y23</f>
        <v>415</v>
      </c>
      <c r="AB23" s="97">
        <f>IF(C23=2012, AA23/3,AA23)+Z23</f>
        <v>415</v>
      </c>
      <c r="AC23" s="283"/>
      <c r="AD23" s="283"/>
      <c r="AE23" s="50">
        <f>40</f>
        <v>40</v>
      </c>
      <c r="AF23" s="50">
        <f>54</f>
        <v>54</v>
      </c>
      <c r="AG23" s="50">
        <f>43</f>
        <v>43</v>
      </c>
      <c r="AH23" s="50">
        <f t="shared" si="10"/>
        <v>73</v>
      </c>
      <c r="AI23" s="120">
        <f>15+15+38+14</f>
        <v>82</v>
      </c>
      <c r="AJ23" s="96">
        <f>SUM(AD23:AH23)</f>
        <v>210</v>
      </c>
      <c r="AK23" s="97">
        <f>IF(C23=2011, AJ23/3,AJ23)+AI23</f>
        <v>152</v>
      </c>
      <c r="AL23" s="22"/>
      <c r="AM23" s="256"/>
      <c r="AN23" s="256"/>
      <c r="AO23" s="256"/>
      <c r="AP23" s="256"/>
      <c r="AQ23" s="256">
        <v>36</v>
      </c>
      <c r="AR23" s="256">
        <f>37</f>
        <v>37</v>
      </c>
      <c r="AS23" s="254"/>
      <c r="AT23" s="95"/>
      <c r="AU23" s="96">
        <f t="shared" si="9"/>
        <v>73</v>
      </c>
      <c r="AV23" s="97">
        <f>IF(C23=2015, AU23/3,AU23)+AT23</f>
        <v>73</v>
      </c>
    </row>
    <row r="24" spans="1:67" x14ac:dyDescent="0.25">
      <c r="A24" s="11" t="s">
        <v>89</v>
      </c>
      <c r="B24" s="60" t="s">
        <v>64</v>
      </c>
      <c r="C24" s="62">
        <v>2013</v>
      </c>
      <c r="D24" s="1">
        <f t="shared" si="0"/>
        <v>445</v>
      </c>
      <c r="E24" s="283">
        <f>69+24</f>
        <v>93</v>
      </c>
      <c r="H24" s="280"/>
      <c r="I24" s="261">
        <f>102+6</f>
        <v>108</v>
      </c>
      <c r="J24" s="246">
        <f>111+27</f>
        <v>138</v>
      </c>
      <c r="K24" s="241">
        <f>102+21</f>
        <v>123</v>
      </c>
      <c r="L24" s="228">
        <f>66+45</f>
        <v>111</v>
      </c>
      <c r="N24" s="267">
        <f t="shared" si="1"/>
        <v>576</v>
      </c>
      <c r="P24" s="96">
        <f t="shared" si="2"/>
        <v>1056</v>
      </c>
      <c r="Q24" s="97">
        <f t="shared" si="3"/>
        <v>352</v>
      </c>
      <c r="S24" s="201"/>
      <c r="T24" s="192"/>
      <c r="U24" s="183"/>
      <c r="V24" s="168">
        <f>30+18+9+6</f>
        <v>63</v>
      </c>
      <c r="W24" s="50">
        <f>54+18</f>
        <v>72</v>
      </c>
      <c r="X24" s="50">
        <f>36</f>
        <v>36</v>
      </c>
      <c r="Y24" s="215">
        <f t="shared" si="4"/>
        <v>405</v>
      </c>
      <c r="Z24" s="120"/>
      <c r="AA24" s="96">
        <f>AM24+S24+T24+U24+V24+W24+X24+Y24</f>
        <v>576</v>
      </c>
      <c r="AB24" s="97">
        <f>IF(C24=2017, AA24/3,AA24)+Z24</f>
        <v>576</v>
      </c>
      <c r="AC24" s="284"/>
      <c r="AD24" s="284"/>
      <c r="AE24" s="50">
        <f>15</f>
        <v>15</v>
      </c>
      <c r="AF24" s="50">
        <f>147</f>
        <v>147</v>
      </c>
      <c r="AG24" s="50">
        <f>48+6</f>
        <v>54</v>
      </c>
      <c r="AH24" s="50">
        <f t="shared" si="10"/>
        <v>189</v>
      </c>
      <c r="AI24" s="120"/>
      <c r="AJ24" s="96">
        <f>SUM(AE24:AH24)</f>
        <v>405</v>
      </c>
      <c r="AK24" s="97">
        <f>IF(C24=2016, AJ24/3,AJ24)+AI24</f>
        <v>405</v>
      </c>
      <c r="AL24" s="22"/>
      <c r="AM24" s="231"/>
      <c r="AN24" s="231">
        <v>51</v>
      </c>
      <c r="AO24" s="231">
        <f>78+3</f>
        <v>81</v>
      </c>
      <c r="AP24" s="231">
        <f>48</f>
        <v>48</v>
      </c>
      <c r="AQ24" s="231"/>
      <c r="AR24" s="231"/>
      <c r="AS24" s="234">
        <f>9</f>
        <v>9</v>
      </c>
      <c r="AT24" s="95"/>
      <c r="AU24" s="96">
        <f t="shared" si="9"/>
        <v>189</v>
      </c>
      <c r="AV24" s="97">
        <f>IF(C24=2015, AU24/3,AU24)+AT24</f>
        <v>189</v>
      </c>
    </row>
    <row r="25" spans="1:67" x14ac:dyDescent="0.25">
      <c r="A25" s="51" t="s">
        <v>566</v>
      </c>
      <c r="B25" s="51" t="s">
        <v>64</v>
      </c>
      <c r="C25" s="52">
        <v>2011</v>
      </c>
      <c r="D25" s="1">
        <f t="shared" si="0"/>
        <v>358.66666666666663</v>
      </c>
      <c r="E25" s="154">
        <f>6</f>
        <v>6</v>
      </c>
      <c r="F25" s="154"/>
      <c r="H25" s="284"/>
      <c r="I25" s="283"/>
      <c r="J25" s="283">
        <v>63</v>
      </c>
      <c r="K25" s="283"/>
      <c r="L25" s="283"/>
      <c r="M25" s="283"/>
      <c r="N25" s="267">
        <f t="shared" si="1"/>
        <v>289.66666666666663</v>
      </c>
      <c r="P25" s="96">
        <f t="shared" si="2"/>
        <v>352.66666666666663</v>
      </c>
      <c r="Q25" s="97">
        <f t="shared" si="3"/>
        <v>352.66666666666663</v>
      </c>
      <c r="R25" s="283"/>
      <c r="S25" s="201"/>
      <c r="T25" s="192"/>
      <c r="U25" s="183"/>
      <c r="V25" s="168"/>
      <c r="W25" s="50">
        <f>0</f>
        <v>0</v>
      </c>
      <c r="X25" s="50">
        <f>39</f>
        <v>39</v>
      </c>
      <c r="Y25" s="215">
        <f t="shared" si="4"/>
        <v>241.66666666666666</v>
      </c>
      <c r="Z25" s="120">
        <f>3+6</f>
        <v>9</v>
      </c>
      <c r="AA25" s="96">
        <f>S25+T25+U25+V25+W25+X25+Y25</f>
        <v>280.66666666666663</v>
      </c>
      <c r="AB25" s="97">
        <f>IF(C25=2012, AA25/3,AA25)+Z25</f>
        <v>289.66666666666663</v>
      </c>
      <c r="AC25" s="228"/>
      <c r="AD25" s="50"/>
      <c r="AE25" s="50">
        <f>30+51</f>
        <v>81</v>
      </c>
      <c r="AF25" s="50">
        <f>171+57</f>
        <v>228</v>
      </c>
      <c r="AG25" s="50">
        <f>48</f>
        <v>48</v>
      </c>
      <c r="AH25" s="50">
        <f>350</f>
        <v>350</v>
      </c>
      <c r="AI25" s="120">
        <f>6</f>
        <v>6</v>
      </c>
      <c r="AJ25" s="96">
        <f>SUM(AD25:AH25)</f>
        <v>707</v>
      </c>
      <c r="AK25" s="97">
        <f>IF(C25=2011, AJ25/3,AJ25)+AI25</f>
        <v>241.66666666666666</v>
      </c>
      <c r="AL25" s="22"/>
      <c r="AM25" s="50"/>
      <c r="AN25" s="50"/>
      <c r="AO25" s="50"/>
      <c r="AP25" s="50"/>
      <c r="AQ25" s="50"/>
      <c r="AR25" s="50"/>
      <c r="AS25" s="283"/>
      <c r="AT25" s="95"/>
      <c r="AU25" s="96"/>
      <c r="AV25" s="97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</row>
    <row r="26" spans="1:67" x14ac:dyDescent="0.25">
      <c r="A26" s="71" t="s">
        <v>1415</v>
      </c>
      <c r="B26" s="60" t="s">
        <v>0</v>
      </c>
      <c r="C26" s="72">
        <v>2013</v>
      </c>
      <c r="D26" s="1">
        <f t="shared" si="0"/>
        <v>419.66666666666669</v>
      </c>
      <c r="E26" s="283">
        <f>36</f>
        <v>36</v>
      </c>
      <c r="F26" s="283"/>
      <c r="H26" s="280"/>
      <c r="I26" s="261">
        <f>99</f>
        <v>99</v>
      </c>
      <c r="J26" s="246">
        <f>21</f>
        <v>21</v>
      </c>
      <c r="K26" s="241">
        <f>78</f>
        <v>78</v>
      </c>
      <c r="L26" s="228">
        <f>66</f>
        <v>66</v>
      </c>
      <c r="N26" s="267">
        <f t="shared" si="1"/>
        <v>743</v>
      </c>
      <c r="O26" s="120">
        <f>15+9+24</f>
        <v>48</v>
      </c>
      <c r="P26" s="96">
        <f t="shared" si="2"/>
        <v>1007</v>
      </c>
      <c r="Q26" s="97">
        <f t="shared" si="3"/>
        <v>383.66666666666669</v>
      </c>
      <c r="S26" s="201">
        <f>87+15</f>
        <v>102</v>
      </c>
      <c r="T26" s="192">
        <f>54+6</f>
        <v>60</v>
      </c>
      <c r="U26" s="183">
        <f>45+9+6+3</f>
        <v>63</v>
      </c>
      <c r="V26" s="168">
        <f>30+15+6+9</f>
        <v>60</v>
      </c>
      <c r="W26" s="50">
        <f>48+6+15+9</f>
        <v>78</v>
      </c>
      <c r="X26" s="50"/>
      <c r="Y26" s="215">
        <f t="shared" si="4"/>
        <v>380</v>
      </c>
      <c r="Z26" s="120"/>
      <c r="AA26" s="96">
        <f>AM26+S26+T26+U26+V26+W26+X26+Y26</f>
        <v>743</v>
      </c>
      <c r="AB26" s="97">
        <f>IF(C26=2017, AA26/3,AA26)+Z26</f>
        <v>743</v>
      </c>
      <c r="AC26" s="284"/>
      <c r="AD26" s="284"/>
      <c r="AE26" s="50">
        <f>30+36</f>
        <v>66</v>
      </c>
      <c r="AF26" s="50">
        <f>37+5</f>
        <v>42</v>
      </c>
      <c r="AG26" s="50">
        <f>44+36+3</f>
        <v>83</v>
      </c>
      <c r="AH26" s="50">
        <f t="shared" ref="AH26:AH32" si="11">AV26</f>
        <v>189</v>
      </c>
      <c r="AI26" s="120"/>
      <c r="AJ26" s="96">
        <f>SUM(AE26:AH26)</f>
        <v>380</v>
      </c>
      <c r="AK26" s="97">
        <f>IF(C26=2016, AJ26/3,AJ26)+AI26</f>
        <v>380</v>
      </c>
      <c r="AL26" s="22"/>
      <c r="AM26" s="231"/>
      <c r="AN26" s="231"/>
      <c r="AO26" s="231"/>
      <c r="AP26" s="231">
        <f>50</f>
        <v>50</v>
      </c>
      <c r="AQ26" s="231">
        <f>46</f>
        <v>46</v>
      </c>
      <c r="AR26" s="231">
        <f>42+48+3</f>
        <v>93</v>
      </c>
      <c r="AS26" s="282"/>
      <c r="AT26" s="95"/>
      <c r="AU26" s="96">
        <f t="shared" ref="AU26:AU32" si="12">SUM(AM26:AS26)</f>
        <v>189</v>
      </c>
      <c r="AV26" s="97">
        <f t="shared" ref="AV26:AV32" si="13">IF(C26=2015, AU26/3,AU26)+AT26</f>
        <v>189</v>
      </c>
    </row>
    <row r="27" spans="1:67" x14ac:dyDescent="0.25">
      <c r="A27" s="11" t="s">
        <v>94</v>
      </c>
      <c r="B27" s="60" t="s">
        <v>64</v>
      </c>
      <c r="C27" s="62">
        <v>2011</v>
      </c>
      <c r="D27" s="1">
        <f t="shared" si="0"/>
        <v>399.66666666666663</v>
      </c>
      <c r="H27" s="280"/>
      <c r="I27" s="261">
        <f>42+18</f>
        <v>60</v>
      </c>
      <c r="J27" s="246">
        <f>93+27</f>
        <v>120</v>
      </c>
      <c r="K27" s="241">
        <f>45+12</f>
        <v>57</v>
      </c>
      <c r="N27" s="267">
        <f t="shared" si="1"/>
        <v>162.66666666666666</v>
      </c>
      <c r="P27" s="96">
        <f t="shared" si="2"/>
        <v>399.66666666666663</v>
      </c>
      <c r="Q27" s="97">
        <f t="shared" si="3"/>
        <v>399.66666666666663</v>
      </c>
      <c r="S27" s="201"/>
      <c r="T27" s="192">
        <f>18+12</f>
        <v>30</v>
      </c>
      <c r="U27" s="183"/>
      <c r="V27" s="168"/>
      <c r="W27" s="50">
        <f>33+9+18</f>
        <v>60</v>
      </c>
      <c r="X27" s="50">
        <f>9+6+6</f>
        <v>21</v>
      </c>
      <c r="Y27" s="215">
        <f t="shared" si="4"/>
        <v>51.666666666666664</v>
      </c>
      <c r="Z27" s="120"/>
      <c r="AA27" s="96">
        <f>S27+T27+U27+V27+W27+X27+Y27</f>
        <v>162.66666666666666</v>
      </c>
      <c r="AB27" s="97">
        <f>IF(C27=2012, AA27/3,AA27)+Z27</f>
        <v>162.66666666666666</v>
      </c>
      <c r="AC27" s="215"/>
      <c r="AD27" s="215"/>
      <c r="AE27" s="50"/>
      <c r="AF27" s="50">
        <f>50</f>
        <v>50</v>
      </c>
      <c r="AG27" s="50">
        <f>0</f>
        <v>0</v>
      </c>
      <c r="AH27" s="50">
        <f t="shared" si="11"/>
        <v>96</v>
      </c>
      <c r="AI27" s="120">
        <f>3</f>
        <v>3</v>
      </c>
      <c r="AJ27" s="96">
        <f>SUM(AD27:AH27)</f>
        <v>146</v>
      </c>
      <c r="AK27" s="97">
        <f>IF(C27=2011, AJ27/3,AJ27)+AI27</f>
        <v>51.666666666666664</v>
      </c>
      <c r="AL27" s="22"/>
      <c r="AM27" s="201"/>
      <c r="AN27" s="201">
        <v>36</v>
      </c>
      <c r="AO27" s="201">
        <f>60</f>
        <v>60</v>
      </c>
      <c r="AP27" s="201"/>
      <c r="AQ27" s="201"/>
      <c r="AR27" s="201"/>
      <c r="AS27" s="36"/>
      <c r="AT27" s="95"/>
      <c r="AU27" s="96">
        <f t="shared" si="12"/>
        <v>96</v>
      </c>
      <c r="AV27" s="97">
        <f t="shared" si="13"/>
        <v>96</v>
      </c>
    </row>
    <row r="28" spans="1:67" x14ac:dyDescent="0.25">
      <c r="A28" s="11" t="s">
        <v>233</v>
      </c>
      <c r="B28" s="11" t="s">
        <v>0</v>
      </c>
      <c r="C28" s="3">
        <v>2012</v>
      </c>
      <c r="D28" s="1">
        <f t="shared" si="0"/>
        <v>971.66666666666663</v>
      </c>
      <c r="E28" s="283">
        <f>87+27</f>
        <v>114</v>
      </c>
      <c r="H28" s="280"/>
      <c r="I28" s="261">
        <f>78+21</f>
        <v>99</v>
      </c>
      <c r="J28" s="246">
        <f>69+30</f>
        <v>99</v>
      </c>
      <c r="K28" s="241">
        <f>57+15</f>
        <v>72</v>
      </c>
      <c r="L28" s="228">
        <f>33+18</f>
        <v>51</v>
      </c>
      <c r="N28" s="267">
        <f t="shared" si="1"/>
        <v>536.66666666666663</v>
      </c>
      <c r="P28" s="96">
        <f t="shared" si="2"/>
        <v>857.66666666666663</v>
      </c>
      <c r="Q28" s="97">
        <f t="shared" si="3"/>
        <v>857.66666666666663</v>
      </c>
      <c r="S28" s="201">
        <f>120</f>
        <v>120</v>
      </c>
      <c r="T28" s="192">
        <f>72+15</f>
        <v>87</v>
      </c>
      <c r="U28" s="183">
        <f>54+15+6+3</f>
        <v>78</v>
      </c>
      <c r="V28" s="168">
        <f>72+21+6+9</f>
        <v>108</v>
      </c>
      <c r="W28" s="50">
        <f>69+12+15+9</f>
        <v>105</v>
      </c>
      <c r="X28" s="50">
        <f>54+3+3+6</f>
        <v>66</v>
      </c>
      <c r="Y28" s="215">
        <f t="shared" si="4"/>
        <v>1046</v>
      </c>
      <c r="Z28" s="120"/>
      <c r="AA28" s="96">
        <f>S28+T28+U28+V28+W28+X28+Y28</f>
        <v>1610</v>
      </c>
      <c r="AB28" s="97">
        <f>IF(C28=2012, AA28/3,AA28)+Z28</f>
        <v>536.66666666666663</v>
      </c>
      <c r="AC28" s="205"/>
      <c r="AD28" s="205"/>
      <c r="AE28" s="50"/>
      <c r="AF28" s="50">
        <f>183+75</f>
        <v>258</v>
      </c>
      <c r="AG28" s="50">
        <f>75+57+3+3</f>
        <v>138</v>
      </c>
      <c r="AH28" s="50">
        <f t="shared" si="11"/>
        <v>650</v>
      </c>
      <c r="AI28" s="120"/>
      <c r="AJ28" s="96">
        <f>SUM(AD28:AH28)</f>
        <v>1046</v>
      </c>
      <c r="AK28" s="97">
        <f>IF(C28=2011, AJ28/3,AJ28)+AI28</f>
        <v>1046</v>
      </c>
      <c r="AL28" s="22"/>
      <c r="AM28" s="41"/>
      <c r="AN28" s="41"/>
      <c r="AO28" s="41">
        <f>84+15</f>
        <v>99</v>
      </c>
      <c r="AP28" s="41">
        <f>78+24</f>
        <v>102</v>
      </c>
      <c r="AQ28" s="41">
        <f>21+45</f>
        <v>66</v>
      </c>
      <c r="AR28" s="41">
        <f>87+72+3+3</f>
        <v>165</v>
      </c>
      <c r="AS28" s="13">
        <f>218</f>
        <v>218</v>
      </c>
      <c r="AT28" s="95"/>
      <c r="AU28" s="96">
        <f t="shared" si="12"/>
        <v>650</v>
      </c>
      <c r="AV28" s="97">
        <f t="shared" si="13"/>
        <v>650</v>
      </c>
    </row>
    <row r="29" spans="1:67" x14ac:dyDescent="0.25">
      <c r="A29" s="53" t="s">
        <v>736</v>
      </c>
      <c r="B29" s="84" t="s">
        <v>63</v>
      </c>
      <c r="C29" s="54">
        <v>2010</v>
      </c>
      <c r="D29" s="1">
        <f>Q29+E29</f>
        <v>323</v>
      </c>
      <c r="E29" s="283">
        <f>18+33</f>
        <v>51</v>
      </c>
      <c r="F29" s="278">
        <f>3+3</f>
        <v>6</v>
      </c>
      <c r="I29" s="261">
        <f>6</f>
        <v>6</v>
      </c>
      <c r="J29" s="246">
        <f>22+27</f>
        <v>49</v>
      </c>
      <c r="K29" s="241">
        <f>30+6</f>
        <v>36</v>
      </c>
      <c r="N29" s="267">
        <f>AB29</f>
        <v>181</v>
      </c>
      <c r="P29" s="96">
        <f>I29+J29+K29+L29+N29</f>
        <v>272</v>
      </c>
      <c r="Q29" s="97">
        <f>IF(C29=2013, P29/3,P29)+O29</f>
        <v>272</v>
      </c>
      <c r="S29" s="201">
        <f>18+8</f>
        <v>26</v>
      </c>
      <c r="T29" s="192">
        <f>18+6</f>
        <v>24</v>
      </c>
      <c r="U29" s="183">
        <f>18+3+8</f>
        <v>29</v>
      </c>
      <c r="V29" s="168">
        <f>32+3+6+6</f>
        <v>47</v>
      </c>
      <c r="W29" s="50">
        <f>0+8+3+6</f>
        <v>17</v>
      </c>
      <c r="X29" s="50">
        <f>0+4+9</f>
        <v>13</v>
      </c>
      <c r="Y29" s="215">
        <f>AK29</f>
        <v>25</v>
      </c>
      <c r="Z29" s="120"/>
      <c r="AA29" s="96">
        <f>S29+T29+U29+V29+W29+X29+Y29</f>
        <v>181</v>
      </c>
      <c r="AB29" s="97">
        <f>IF(C29=2012, AA29/3,AA29)+Z29</f>
        <v>181</v>
      </c>
      <c r="AC29" s="22"/>
      <c r="AD29" s="278">
        <f>15+10</f>
        <v>25</v>
      </c>
      <c r="AE29" s="50"/>
      <c r="AF29" s="50"/>
      <c r="AG29" s="50"/>
      <c r="AH29" s="50"/>
      <c r="AI29" s="120"/>
      <c r="AJ29" s="96">
        <f>SUM(AD29:AH29)</f>
        <v>25</v>
      </c>
      <c r="AK29" s="97">
        <f>IF(C29=2011, AJ29/3,AJ29)+AI29</f>
        <v>25</v>
      </c>
      <c r="AL29" s="22"/>
      <c r="AM29" s="41"/>
      <c r="AN29" s="41"/>
      <c r="AO29" s="41"/>
      <c r="AP29" s="41"/>
      <c r="AQ29" s="41"/>
      <c r="AR29" s="41"/>
      <c r="AS29" s="41"/>
      <c r="AT29" s="95"/>
      <c r="AU29" s="96"/>
      <c r="AV29" s="97"/>
    </row>
    <row r="30" spans="1:67" x14ac:dyDescent="0.25">
      <c r="A30" s="11" t="s">
        <v>88</v>
      </c>
      <c r="B30" s="60" t="s">
        <v>64</v>
      </c>
      <c r="C30" s="62">
        <v>2011</v>
      </c>
      <c r="D30" s="1">
        <f t="shared" si="0"/>
        <v>378.33333333333337</v>
      </c>
      <c r="E30" s="154">
        <f>24</f>
        <v>24</v>
      </c>
      <c r="F30" s="154"/>
      <c r="G30" s="120">
        <f>12</f>
        <v>12</v>
      </c>
      <c r="H30" s="280"/>
      <c r="I30" s="261">
        <f>42+3</f>
        <v>45</v>
      </c>
      <c r="J30" s="252">
        <f>51+24</f>
        <v>75</v>
      </c>
      <c r="K30" s="252">
        <f>33+6</f>
        <v>39</v>
      </c>
      <c r="L30" s="252"/>
      <c r="M30" s="252"/>
      <c r="N30" s="267">
        <f t="shared" si="1"/>
        <v>195.33333333333334</v>
      </c>
      <c r="P30" s="96">
        <f t="shared" si="2"/>
        <v>354.33333333333337</v>
      </c>
      <c r="Q30" s="97">
        <f t="shared" si="3"/>
        <v>354.33333333333337</v>
      </c>
      <c r="R30" s="252"/>
      <c r="S30" s="201"/>
      <c r="T30" s="192"/>
      <c r="U30" s="183"/>
      <c r="V30" s="168"/>
      <c r="W30" s="168">
        <f>33+3</f>
        <v>36</v>
      </c>
      <c r="X30" s="168">
        <f>18</f>
        <v>18</v>
      </c>
      <c r="Y30" s="215">
        <f t="shared" si="4"/>
        <v>135.33333333333334</v>
      </c>
      <c r="Z30" s="120">
        <f>6</f>
        <v>6</v>
      </c>
      <c r="AA30" s="96">
        <f>S30+T30+U30+V30+W30+X30+Y30</f>
        <v>189.33333333333334</v>
      </c>
      <c r="AB30" s="97">
        <f>IF(C30=2012, AA30/3,AA30)+Z30</f>
        <v>195.33333333333334</v>
      </c>
      <c r="AC30" s="252"/>
      <c r="AD30" s="168"/>
      <c r="AE30" s="168">
        <f>60+51</f>
        <v>111</v>
      </c>
      <c r="AF30" s="168">
        <f>75+57</f>
        <v>132</v>
      </c>
      <c r="AG30" s="168">
        <f>48</f>
        <v>48</v>
      </c>
      <c r="AH30" s="168">
        <f t="shared" si="11"/>
        <v>97</v>
      </c>
      <c r="AI30" s="120">
        <f>6</f>
        <v>6</v>
      </c>
      <c r="AJ30" s="96">
        <f>SUM(AD30:AH30)</f>
        <v>388</v>
      </c>
      <c r="AK30" s="97">
        <f>IF(C30=2011, AJ30/3,AJ30)+AI30</f>
        <v>135.33333333333334</v>
      </c>
      <c r="AL30" s="22"/>
      <c r="AM30" s="252"/>
      <c r="AN30" s="252">
        <v>54</v>
      </c>
      <c r="AO30" s="252"/>
      <c r="AP30" s="252"/>
      <c r="AQ30" s="252"/>
      <c r="AR30" s="252"/>
      <c r="AS30" s="251">
        <f>43</f>
        <v>43</v>
      </c>
      <c r="AT30" s="95"/>
      <c r="AU30" s="96">
        <f t="shared" si="12"/>
        <v>97</v>
      </c>
      <c r="AV30" s="97">
        <f t="shared" si="13"/>
        <v>97</v>
      </c>
    </row>
    <row r="31" spans="1:67" x14ac:dyDescent="0.25">
      <c r="A31" s="11" t="s">
        <v>103</v>
      </c>
      <c r="B31" s="60" t="s">
        <v>64</v>
      </c>
      <c r="C31" s="62">
        <v>2013</v>
      </c>
      <c r="D31" s="1">
        <f t="shared" si="0"/>
        <v>345.33333333333331</v>
      </c>
      <c r="E31" s="283">
        <f>54</f>
        <v>54</v>
      </c>
      <c r="I31" s="261">
        <f>96</f>
        <v>96</v>
      </c>
      <c r="J31" s="246">
        <f>108</f>
        <v>108</v>
      </c>
      <c r="K31" s="241">
        <f>96</f>
        <v>96</v>
      </c>
      <c r="L31" s="228">
        <f>120</f>
        <v>120</v>
      </c>
      <c r="N31" s="267">
        <f t="shared" si="1"/>
        <v>454</v>
      </c>
      <c r="P31" s="96">
        <f t="shared" si="2"/>
        <v>874</v>
      </c>
      <c r="Q31" s="97">
        <f t="shared" si="3"/>
        <v>291.33333333333331</v>
      </c>
      <c r="S31" s="201"/>
      <c r="T31" s="192">
        <f>48</f>
        <v>48</v>
      </c>
      <c r="U31" s="183"/>
      <c r="V31" s="168">
        <f>60+9+6</f>
        <v>75</v>
      </c>
      <c r="W31" s="50">
        <f>51+18</f>
        <v>69</v>
      </c>
      <c r="X31" s="50">
        <f>42</f>
        <v>42</v>
      </c>
      <c r="Y31" s="215">
        <f t="shared" si="4"/>
        <v>220</v>
      </c>
      <c r="Z31" s="120"/>
      <c r="AA31" s="96">
        <f>AM31+S31+T31+U31+V31+W31+X31+Y31</f>
        <v>454</v>
      </c>
      <c r="AB31" s="97">
        <f>IF(C31=2017, AA31/3,AA31)+Z31</f>
        <v>454</v>
      </c>
      <c r="AC31" s="205"/>
      <c r="AD31" s="205"/>
      <c r="AE31" s="50">
        <f>30</f>
        <v>30</v>
      </c>
      <c r="AF31" s="50">
        <f>126</f>
        <v>126</v>
      </c>
      <c r="AG31" s="50">
        <f>39+6</f>
        <v>45</v>
      </c>
      <c r="AH31" s="50">
        <f t="shared" si="11"/>
        <v>19</v>
      </c>
      <c r="AI31" s="120"/>
      <c r="AJ31" s="96">
        <f>SUM(AE31:AH31)</f>
        <v>220</v>
      </c>
      <c r="AK31" s="97">
        <f>IF(C31=2016, AJ31/3,AJ31)+AI31</f>
        <v>220</v>
      </c>
      <c r="AL31" s="22"/>
      <c r="AM31" s="41"/>
      <c r="AN31" s="41">
        <v>0</v>
      </c>
      <c r="AO31" s="41">
        <f>19</f>
        <v>19</v>
      </c>
      <c r="AP31" s="41"/>
      <c r="AQ31" s="41"/>
      <c r="AR31" s="41"/>
      <c r="AT31" s="95"/>
      <c r="AU31" s="96">
        <f t="shared" si="12"/>
        <v>19</v>
      </c>
      <c r="AV31" s="97">
        <f t="shared" si="13"/>
        <v>19</v>
      </c>
    </row>
    <row r="32" spans="1:67" x14ac:dyDescent="0.25">
      <c r="A32" s="71" t="s">
        <v>1146</v>
      </c>
      <c r="B32" s="71" t="s">
        <v>0</v>
      </c>
      <c r="C32" s="72">
        <v>2012</v>
      </c>
      <c r="D32" s="1">
        <f t="shared" si="0"/>
        <v>378</v>
      </c>
      <c r="E32" s="283">
        <f>60+12</f>
        <v>72</v>
      </c>
      <c r="H32" s="280"/>
      <c r="I32" s="154">
        <f>62+9</f>
        <v>71</v>
      </c>
      <c r="J32" s="154">
        <f>22+6</f>
        <v>28</v>
      </c>
      <c r="K32" s="154">
        <f>8+16</f>
        <v>24</v>
      </c>
      <c r="L32" s="154">
        <f>16+2</f>
        <v>18</v>
      </c>
      <c r="M32" s="154"/>
      <c r="N32" s="267">
        <f t="shared" si="1"/>
        <v>165</v>
      </c>
      <c r="P32" s="96">
        <f t="shared" si="2"/>
        <v>306</v>
      </c>
      <c r="Q32" s="97">
        <f t="shared" si="3"/>
        <v>306</v>
      </c>
      <c r="R32" s="154"/>
      <c r="S32" s="228">
        <f>72</f>
        <v>72</v>
      </c>
      <c r="T32" s="228">
        <f>21</f>
        <v>21</v>
      </c>
      <c r="U32" s="228">
        <f>30+3</f>
        <v>33</v>
      </c>
      <c r="V32" s="228">
        <f>34+9</f>
        <v>43</v>
      </c>
      <c r="W32" s="228">
        <f>50+9</f>
        <v>59</v>
      </c>
      <c r="X32" s="228">
        <f>0+6</f>
        <v>6</v>
      </c>
      <c r="Y32" s="228">
        <f t="shared" si="4"/>
        <v>261</v>
      </c>
      <c r="Z32" s="120"/>
      <c r="AA32" s="96">
        <f>S32+T32+U32+V32+W32+X32+Y32</f>
        <v>495</v>
      </c>
      <c r="AB32" s="97">
        <f>IF(C32=2012, AA32/3,AA32)+Z32</f>
        <v>165</v>
      </c>
      <c r="AC32" s="232"/>
      <c r="AD32" s="232"/>
      <c r="AE32" s="228">
        <f>24+36</f>
        <v>60</v>
      </c>
      <c r="AF32" s="228">
        <f>46+5</f>
        <v>51</v>
      </c>
      <c r="AG32" s="228">
        <f>36+3</f>
        <v>39</v>
      </c>
      <c r="AH32" s="228">
        <f t="shared" si="11"/>
        <v>111</v>
      </c>
      <c r="AI32" s="120"/>
      <c r="AJ32" s="96">
        <f>SUM(AD32:AH32)</f>
        <v>261</v>
      </c>
      <c r="AK32" s="97">
        <f>IF(C32=2011, AJ32/3,AJ32)+AI32</f>
        <v>261</v>
      </c>
      <c r="AL32" s="22"/>
      <c r="AM32" s="231"/>
      <c r="AN32" s="231"/>
      <c r="AO32" s="231"/>
      <c r="AP32" s="231">
        <f>28</f>
        <v>28</v>
      </c>
      <c r="AQ32" s="231"/>
      <c r="AR32" s="231">
        <f>32+48+3</f>
        <v>83</v>
      </c>
      <c r="AS32" s="234"/>
      <c r="AT32" s="95"/>
      <c r="AU32" s="96">
        <f t="shared" si="12"/>
        <v>111</v>
      </c>
      <c r="AV32" s="97">
        <f t="shared" si="13"/>
        <v>111</v>
      </c>
    </row>
    <row r="33" spans="1:67" x14ac:dyDescent="0.25">
      <c r="A33" s="71" t="s">
        <v>643</v>
      </c>
      <c r="B33" s="60" t="s">
        <v>63</v>
      </c>
      <c r="C33" s="72">
        <v>2010</v>
      </c>
      <c r="D33" s="1">
        <f t="shared" si="0"/>
        <v>373</v>
      </c>
      <c r="E33" s="283">
        <f>6</f>
        <v>6</v>
      </c>
      <c r="H33" s="280"/>
      <c r="I33" s="261">
        <f>21</f>
        <v>21</v>
      </c>
      <c r="J33" s="246">
        <f>22</f>
        <v>22</v>
      </c>
      <c r="K33" s="241">
        <f>18+10</f>
        <v>28</v>
      </c>
      <c r="N33" s="267">
        <f t="shared" si="1"/>
        <v>296</v>
      </c>
      <c r="P33" s="96">
        <f t="shared" si="2"/>
        <v>367</v>
      </c>
      <c r="Q33" s="97">
        <f t="shared" si="3"/>
        <v>367</v>
      </c>
      <c r="S33" s="201">
        <f>24</f>
        <v>24</v>
      </c>
      <c r="T33" s="192">
        <f>16</f>
        <v>16</v>
      </c>
      <c r="U33" s="192">
        <f>10+4</f>
        <v>14</v>
      </c>
      <c r="V33" s="192">
        <f>40+3+6+6</f>
        <v>55</v>
      </c>
      <c r="W33" s="192">
        <f>40+4+6</f>
        <v>50</v>
      </c>
      <c r="X33" s="192">
        <f>32+8+9</f>
        <v>49</v>
      </c>
      <c r="Y33" s="215">
        <f t="shared" si="4"/>
        <v>88</v>
      </c>
      <c r="Z33" s="120"/>
      <c r="AA33" s="96">
        <f>S33+T33+U33+V33+W33+X33+Y33</f>
        <v>296</v>
      </c>
      <c r="AB33" s="97">
        <f>IF(C33=2012, AA33/3,AA33)+Z33</f>
        <v>296</v>
      </c>
      <c r="AC33" s="22"/>
      <c r="AD33" s="231">
        <f>40+6</f>
        <v>46</v>
      </c>
      <c r="AE33" s="192">
        <f>23+3</f>
        <v>26</v>
      </c>
      <c r="AF33" s="192">
        <f>14+2</f>
        <v>16</v>
      </c>
      <c r="AG33" s="192"/>
      <c r="AH33" s="192"/>
      <c r="AI33" s="120"/>
      <c r="AJ33" s="96">
        <f>SUM(AD33:AH33)</f>
        <v>88</v>
      </c>
      <c r="AK33" s="97">
        <f>IF(C33=2011, AJ33/3,AJ33)+AI33</f>
        <v>88</v>
      </c>
      <c r="AL33" s="22"/>
      <c r="AM33" s="215"/>
      <c r="AN33" s="215"/>
      <c r="AO33" s="215"/>
      <c r="AP33" s="215"/>
      <c r="AQ33" s="215"/>
      <c r="AR33" s="215"/>
      <c r="AS33" s="36"/>
      <c r="AT33" s="95"/>
      <c r="AU33" s="96"/>
      <c r="AV33" s="97"/>
    </row>
    <row r="34" spans="1:67" s="17" customFormat="1" x14ac:dyDescent="0.25">
      <c r="A34" s="11" t="s">
        <v>96</v>
      </c>
      <c r="B34" s="61" t="s">
        <v>63</v>
      </c>
      <c r="C34" s="62">
        <v>2012</v>
      </c>
      <c r="D34" s="1">
        <f t="shared" si="0"/>
        <v>379.66666666666663</v>
      </c>
      <c r="E34" s="283">
        <f>36+33</f>
        <v>69</v>
      </c>
      <c r="F34" s="278">
        <f>0+3</f>
        <v>3</v>
      </c>
      <c r="G34" s="120"/>
      <c r="H34" s="280"/>
      <c r="I34" s="261">
        <f>52+6</f>
        <v>58</v>
      </c>
      <c r="J34" s="246">
        <f>51+27</f>
        <v>78</v>
      </c>
      <c r="K34" s="241">
        <f>0+6</f>
        <v>6</v>
      </c>
      <c r="L34" s="228"/>
      <c r="M34" s="215"/>
      <c r="N34" s="267">
        <f t="shared" si="1"/>
        <v>168.66666666666666</v>
      </c>
      <c r="O34" s="120"/>
      <c r="P34" s="96">
        <f t="shared" si="2"/>
        <v>310.66666666666663</v>
      </c>
      <c r="Q34" s="97">
        <f t="shared" si="3"/>
        <v>310.66666666666663</v>
      </c>
      <c r="R34" s="215"/>
      <c r="S34" s="215">
        <f>54</f>
        <v>54</v>
      </c>
      <c r="T34" s="215">
        <f>0</f>
        <v>0</v>
      </c>
      <c r="U34" s="215">
        <f>3</f>
        <v>3</v>
      </c>
      <c r="V34" s="215">
        <f>0</f>
        <v>0</v>
      </c>
      <c r="W34" s="215">
        <f>27</f>
        <v>27</v>
      </c>
      <c r="X34" s="215">
        <f>18</f>
        <v>18</v>
      </c>
      <c r="Y34" s="215">
        <f t="shared" si="4"/>
        <v>362</v>
      </c>
      <c r="Z34" s="120">
        <f>6+8</f>
        <v>14</v>
      </c>
      <c r="AA34" s="96">
        <f>S34+T34+U34+V34+W34+X34+Y34</f>
        <v>464</v>
      </c>
      <c r="AB34" s="97">
        <f>IF(C34=2012, AA34/3,AA34)+Z34</f>
        <v>168.66666666666666</v>
      </c>
      <c r="AC34" s="257"/>
      <c r="AD34" s="257"/>
      <c r="AE34" s="215"/>
      <c r="AF34" s="215">
        <f>6+72</f>
        <v>78</v>
      </c>
      <c r="AG34" s="215">
        <f>24+54</f>
        <v>78</v>
      </c>
      <c r="AH34" s="215">
        <f>AV34</f>
        <v>206</v>
      </c>
      <c r="AI34" s="120"/>
      <c r="AJ34" s="96">
        <f>SUM(AD34:AH34)</f>
        <v>362</v>
      </c>
      <c r="AK34" s="97">
        <f>IF(C34=2011, AJ34/3,AJ34)+AI34</f>
        <v>362</v>
      </c>
      <c r="AL34" s="22"/>
      <c r="AM34" s="256"/>
      <c r="AN34" s="256">
        <f>18+3</f>
        <v>21</v>
      </c>
      <c r="AO34" s="256"/>
      <c r="AP34" s="256">
        <f>27+6</f>
        <v>33</v>
      </c>
      <c r="AQ34" s="256"/>
      <c r="AR34" s="256">
        <f>24+60</f>
        <v>84</v>
      </c>
      <c r="AS34" s="254">
        <f>68</f>
        <v>68</v>
      </c>
      <c r="AT34" s="95"/>
      <c r="AU34" s="96">
        <f>SUM(AM34:AS34)</f>
        <v>206</v>
      </c>
      <c r="AV34" s="97">
        <f>IF(C34=2015, AU34/3,AU34)+AT34</f>
        <v>206</v>
      </c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spans="1:67" x14ac:dyDescent="0.25">
      <c r="A35" s="11" t="s">
        <v>391</v>
      </c>
      <c r="B35" s="60" t="s">
        <v>0</v>
      </c>
      <c r="C35" s="62">
        <v>2013</v>
      </c>
      <c r="D35" s="1">
        <f t="shared" si="0"/>
        <v>343.66666666666669</v>
      </c>
      <c r="E35" s="283">
        <f>58</f>
        <v>58</v>
      </c>
      <c r="I35" s="261">
        <f>84</f>
        <v>84</v>
      </c>
      <c r="J35" s="246">
        <f>45+21</f>
        <v>66</v>
      </c>
      <c r="K35" s="241">
        <f>90+6</f>
        <v>96</v>
      </c>
      <c r="L35" s="241">
        <f>66+42</f>
        <v>108</v>
      </c>
      <c r="M35" s="241"/>
      <c r="N35" s="267">
        <f t="shared" si="1"/>
        <v>503</v>
      </c>
      <c r="P35" s="96">
        <f t="shared" si="2"/>
        <v>857</v>
      </c>
      <c r="Q35" s="97">
        <f t="shared" si="3"/>
        <v>285.66666666666669</v>
      </c>
      <c r="R35" s="241"/>
      <c r="S35" s="241">
        <f>87</f>
        <v>87</v>
      </c>
      <c r="T35" s="241">
        <f>21</f>
        <v>21</v>
      </c>
      <c r="U35" s="241">
        <f>39</f>
        <v>39</v>
      </c>
      <c r="V35" s="241"/>
      <c r="W35" s="241">
        <f>15</f>
        <v>15</v>
      </c>
      <c r="X35" s="241"/>
      <c r="Y35" s="241">
        <f t="shared" si="4"/>
        <v>341</v>
      </c>
      <c r="Z35" s="120"/>
      <c r="AA35" s="96">
        <f>AM35+S35+T35+U35+V35+W35+X35+Y35</f>
        <v>503</v>
      </c>
      <c r="AB35" s="97">
        <f>IF(C35=2017, AA35/3,AA35)+Z35</f>
        <v>503</v>
      </c>
      <c r="AC35" s="269"/>
      <c r="AD35" s="269"/>
      <c r="AE35" s="241">
        <f>41</f>
        <v>41</v>
      </c>
      <c r="AF35" s="241">
        <f>66+54</f>
        <v>120</v>
      </c>
      <c r="AG35" s="241">
        <f>47+36</f>
        <v>83</v>
      </c>
      <c r="AH35" s="241">
        <f>AV35</f>
        <v>97</v>
      </c>
      <c r="AI35" s="120"/>
      <c r="AJ35" s="96">
        <f>SUM(AE35:AH35)</f>
        <v>341</v>
      </c>
      <c r="AK35" s="97">
        <f>IF(C35=2016, AJ35/3,AJ35)+AI35</f>
        <v>341</v>
      </c>
      <c r="AL35" s="22"/>
      <c r="AM35" s="267"/>
      <c r="AN35" s="267"/>
      <c r="AO35" s="267"/>
      <c r="AP35" s="267"/>
      <c r="AQ35" s="267">
        <f>47</f>
        <v>47</v>
      </c>
      <c r="AR35" s="267">
        <f>50</f>
        <v>50</v>
      </c>
      <c r="AS35" s="265"/>
      <c r="AT35" s="95"/>
      <c r="AU35" s="96">
        <f>SUM(AM35:AS35)</f>
        <v>97</v>
      </c>
      <c r="AV35" s="97">
        <f>IF(C35=2015, AU35/3,AU35)+AT35</f>
        <v>97</v>
      </c>
    </row>
    <row r="36" spans="1:67" s="17" customFormat="1" x14ac:dyDescent="0.25">
      <c r="A36" s="304" t="s">
        <v>37</v>
      </c>
      <c r="B36" s="323"/>
      <c r="C36" s="324"/>
      <c r="D36" s="1"/>
      <c r="E36" s="283"/>
      <c r="F36" s="278"/>
      <c r="G36" s="120"/>
      <c r="H36" s="280"/>
      <c r="I36" s="261"/>
      <c r="J36" s="246"/>
      <c r="K36" s="241"/>
      <c r="L36" s="228"/>
      <c r="M36" s="215"/>
      <c r="N36" s="267">
        <f t="shared" si="1"/>
        <v>0</v>
      </c>
      <c r="O36" s="120"/>
      <c r="P36" s="96">
        <f t="shared" si="2"/>
        <v>0</v>
      </c>
      <c r="Q36" s="97">
        <f t="shared" si="3"/>
        <v>0</v>
      </c>
      <c r="R36" s="215"/>
      <c r="S36" s="201"/>
      <c r="T36" s="192"/>
      <c r="U36" s="183"/>
      <c r="V36" s="168"/>
      <c r="W36" s="50"/>
      <c r="X36" s="50"/>
      <c r="Y36" s="215">
        <f t="shared" si="4"/>
        <v>0</v>
      </c>
      <c r="Z36" s="50"/>
      <c r="AA36" s="96">
        <f t="shared" ref="AA36" si="14">S36+T36+U36+V36+W36+X36+Y36</f>
        <v>0</v>
      </c>
      <c r="AB36" s="97">
        <f t="shared" ref="AB36" si="15">IF(C36=2012, AA36/3,AA36)+Z36</f>
        <v>0</v>
      </c>
      <c r="AC36" s="22"/>
      <c r="AD36" s="50"/>
      <c r="AE36" s="50"/>
      <c r="AF36" s="50"/>
      <c r="AG36" s="50"/>
      <c r="AH36" s="50"/>
      <c r="AI36" s="50"/>
      <c r="AJ36" s="96">
        <f t="shared" ref="AJ36" si="16">SUM(AD36:AH36)</f>
        <v>0</v>
      </c>
      <c r="AK36" s="97">
        <f t="shared" ref="AK36" si="17">IF(C36=2011, AJ36/3,AJ36)+AI36</f>
        <v>0</v>
      </c>
      <c r="AL36" s="22"/>
      <c r="AM36" s="22"/>
      <c r="AN36" s="22"/>
      <c r="AO36" s="22"/>
      <c r="AP36" s="22"/>
      <c r="AQ36" s="22"/>
      <c r="AR36" s="22"/>
      <c r="AS36" s="22"/>
      <c r="AT36" s="68"/>
      <c r="AU36" s="68"/>
      <c r="AV36" s="68"/>
    </row>
    <row r="37" spans="1:67" x14ac:dyDescent="0.25">
      <c r="A37" s="60" t="s">
        <v>802</v>
      </c>
      <c r="B37" s="65" t="s">
        <v>583</v>
      </c>
      <c r="C37" s="62">
        <v>2010</v>
      </c>
      <c r="D37" s="1">
        <f>Q37+E37</f>
        <v>12</v>
      </c>
      <c r="I37" s="154"/>
      <c r="J37" s="154"/>
      <c r="K37" s="154"/>
      <c r="L37" s="154"/>
      <c r="M37" s="154"/>
      <c r="N37" s="267">
        <f t="shared" ref="N37:N100" si="18">AB37</f>
        <v>12</v>
      </c>
      <c r="P37" s="96">
        <f>I37+J37+K37+L37+N37</f>
        <v>12</v>
      </c>
      <c r="Q37" s="97">
        <f t="shared" ref="Q37:Q100" si="19">IF(C37=2013, P37/3,P37)+O37</f>
        <v>12</v>
      </c>
      <c r="R37" s="154"/>
      <c r="S37" s="201"/>
      <c r="T37" s="192"/>
      <c r="U37" s="183"/>
      <c r="V37" s="168"/>
      <c r="W37" s="50"/>
      <c r="X37" s="50">
        <f>12</f>
        <v>12</v>
      </c>
      <c r="Y37" s="215">
        <f>AK37</f>
        <v>0</v>
      </c>
      <c r="Z37" s="120"/>
      <c r="AA37" s="96">
        <f>S37+T37+U37+V37+W37+X37+Y37</f>
        <v>12</v>
      </c>
      <c r="AB37" s="97">
        <f>IF(C37=2012, AA37/3,AA37)+Z37</f>
        <v>12</v>
      </c>
      <c r="AC37" s="22"/>
      <c r="AD37" s="267"/>
      <c r="AE37" s="50"/>
      <c r="AF37" s="50"/>
      <c r="AG37" s="50"/>
      <c r="AH37" s="50"/>
      <c r="AI37" s="120"/>
      <c r="AJ37" s="96">
        <f>SUM(AD37:AH37)</f>
        <v>0</v>
      </c>
      <c r="AK37" s="97">
        <f>IF(C37=2011, AJ37/3,AJ37)+AI37</f>
        <v>0</v>
      </c>
      <c r="AL37" s="22"/>
      <c r="AT37" s="95"/>
      <c r="AU37" s="96"/>
      <c r="AV37" s="9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</row>
    <row r="38" spans="1:67" x14ac:dyDescent="0.25">
      <c r="A38" s="11" t="s">
        <v>551</v>
      </c>
      <c r="B38" s="60" t="s">
        <v>64</v>
      </c>
      <c r="C38" s="62">
        <v>2012</v>
      </c>
      <c r="D38" s="1">
        <f>Q38+E38</f>
        <v>9</v>
      </c>
      <c r="H38" s="280"/>
      <c r="N38" s="267">
        <f t="shared" si="18"/>
        <v>9</v>
      </c>
      <c r="P38" s="96">
        <f>I38+J38+K38+L38+N38</f>
        <v>9</v>
      </c>
      <c r="Q38" s="97">
        <f t="shared" si="19"/>
        <v>9</v>
      </c>
      <c r="S38" s="201"/>
      <c r="T38" s="192"/>
      <c r="U38" s="183"/>
      <c r="V38" s="168"/>
      <c r="W38" s="168"/>
      <c r="X38" s="168"/>
      <c r="Y38" s="215">
        <f>AK38</f>
        <v>27</v>
      </c>
      <c r="Z38" s="152"/>
      <c r="AA38" s="96">
        <f>S38+T38+U38+V38+W38+X38+Y38</f>
        <v>27</v>
      </c>
      <c r="AB38" s="97">
        <f>IF(C38=2012, AA38/3,AA38)+Z38</f>
        <v>9</v>
      </c>
      <c r="AC38" s="263"/>
      <c r="AD38" s="263"/>
      <c r="AE38" s="168"/>
      <c r="AF38" s="168"/>
      <c r="AG38" s="168">
        <f>27</f>
        <v>27</v>
      </c>
      <c r="AH38" s="168"/>
      <c r="AI38" s="120"/>
      <c r="AJ38" s="96">
        <f>SUM(AD38:AH38)</f>
        <v>27</v>
      </c>
      <c r="AK38" s="97">
        <f>IF(C38=2011, AJ38/3,AJ38)+AI38</f>
        <v>27</v>
      </c>
      <c r="AL38" s="22"/>
      <c r="AM38" s="168"/>
      <c r="AN38" s="168"/>
      <c r="AO38" s="168"/>
      <c r="AP38" s="168"/>
      <c r="AQ38" s="168"/>
      <c r="AR38" s="168"/>
      <c r="AS38" s="22"/>
      <c r="AT38" s="68"/>
      <c r="AU38" s="96">
        <f>SUM(AM38:AS38)</f>
        <v>0</v>
      </c>
      <c r="AV38" s="97">
        <f>IF(C38=2015, AU38/3,AU38)+AT38</f>
        <v>0</v>
      </c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</row>
    <row r="39" spans="1:67" x14ac:dyDescent="0.25">
      <c r="A39" s="60" t="s">
        <v>913</v>
      </c>
      <c r="B39" s="65" t="s">
        <v>794</v>
      </c>
      <c r="C39" s="62"/>
      <c r="D39" s="1">
        <f>Q39+E39</f>
        <v>3</v>
      </c>
      <c r="H39" s="280"/>
      <c r="M39" s="228"/>
      <c r="N39" s="267">
        <f t="shared" si="18"/>
        <v>3</v>
      </c>
      <c r="P39" s="96">
        <f>I39+J39+K39+L39+N39</f>
        <v>3</v>
      </c>
      <c r="Q39" s="97">
        <f t="shared" si="19"/>
        <v>3</v>
      </c>
      <c r="R39" s="228"/>
      <c r="S39" s="228"/>
      <c r="T39" s="228"/>
      <c r="U39" s="228"/>
      <c r="V39" s="228">
        <f>3</f>
        <v>3</v>
      </c>
      <c r="W39" s="228"/>
      <c r="X39" s="228"/>
      <c r="Y39" s="228">
        <f>AK39</f>
        <v>0</v>
      </c>
      <c r="Z39" s="120"/>
      <c r="AA39" s="96">
        <f>S39+T39+U39+V39+W39+X39+Y39</f>
        <v>3</v>
      </c>
      <c r="AB39" s="97">
        <f>IF(C39=2012, AA39/3,AA39)+Z39</f>
        <v>3</v>
      </c>
      <c r="AC39" s="22"/>
      <c r="AD39" s="267"/>
      <c r="AE39" s="228"/>
      <c r="AF39" s="228"/>
      <c r="AG39" s="228"/>
      <c r="AH39" s="228"/>
      <c r="AI39" s="120"/>
      <c r="AJ39" s="96">
        <f>SUM(AD39:AH39)</f>
        <v>0</v>
      </c>
      <c r="AK39" s="97">
        <f>IF(C39=2011, AJ39/3,AJ39)+AI39</f>
        <v>0</v>
      </c>
      <c r="AL39" s="22"/>
      <c r="AT39" s="95"/>
      <c r="AU39" s="96"/>
      <c r="AV39" s="9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</row>
    <row r="40" spans="1:67" x14ac:dyDescent="0.25">
      <c r="A40" s="11" t="s">
        <v>1437</v>
      </c>
      <c r="B40" s="60" t="s">
        <v>64</v>
      </c>
      <c r="C40" s="62">
        <v>2013</v>
      </c>
      <c r="D40" s="1">
        <f>Q40+F40+E40</f>
        <v>49.666666666666664</v>
      </c>
      <c r="E40" s="283">
        <f>36</f>
        <v>36</v>
      </c>
      <c r="H40" s="280"/>
      <c r="I40" s="261">
        <f>0</f>
        <v>0</v>
      </c>
      <c r="J40" s="261">
        <f>9</f>
        <v>9</v>
      </c>
      <c r="K40" s="261">
        <f>32</f>
        <v>32</v>
      </c>
      <c r="L40" s="261"/>
      <c r="M40" s="261"/>
      <c r="N40" s="267">
        <f t="shared" si="18"/>
        <v>0</v>
      </c>
      <c r="P40" s="96">
        <f>I40+J40+K40+L40+M40+N40</f>
        <v>41</v>
      </c>
      <c r="Q40" s="97">
        <f t="shared" si="19"/>
        <v>13.666666666666666</v>
      </c>
      <c r="R40" s="261"/>
      <c r="S40" s="261"/>
      <c r="T40" s="261"/>
      <c r="U40" s="261"/>
      <c r="V40" s="261"/>
      <c r="W40" s="261"/>
      <c r="X40" s="261"/>
      <c r="Y40" s="228"/>
      <c r="Z40" s="152"/>
      <c r="AA40" s="96"/>
      <c r="AB40" s="97"/>
      <c r="AC40" s="290"/>
      <c r="AD40" s="290"/>
      <c r="AE40" s="261"/>
      <c r="AF40" s="261"/>
      <c r="AG40" s="261"/>
      <c r="AH40" s="261"/>
      <c r="AI40" s="120"/>
      <c r="AJ40" s="96"/>
      <c r="AK40" s="97"/>
      <c r="AL40" s="22"/>
      <c r="AM40" s="287"/>
      <c r="AN40" s="287"/>
      <c r="AO40" s="287"/>
      <c r="AP40" s="287"/>
      <c r="AQ40" s="287"/>
      <c r="AR40" s="287"/>
      <c r="AS40" s="22"/>
      <c r="AT40" s="68"/>
      <c r="AU40" s="96"/>
      <c r="AV40" s="9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</row>
    <row r="41" spans="1:67" x14ac:dyDescent="0.25">
      <c r="A41" s="11" t="s">
        <v>114</v>
      </c>
      <c r="B41" s="60" t="s">
        <v>86</v>
      </c>
      <c r="C41" s="62">
        <v>2011</v>
      </c>
      <c r="D41" s="1">
        <f t="shared" ref="D41:D46" si="20">Q41+E41</f>
        <v>35.333333333333336</v>
      </c>
      <c r="H41" s="280"/>
      <c r="L41" s="241"/>
      <c r="M41" s="241"/>
      <c r="N41" s="267">
        <f t="shared" si="18"/>
        <v>35.333333333333336</v>
      </c>
      <c r="P41" s="96">
        <f t="shared" ref="P41:P46" si="21">I41+J41+K41+L41+N41</f>
        <v>35.333333333333336</v>
      </c>
      <c r="Q41" s="97">
        <f t="shared" si="19"/>
        <v>35.333333333333336</v>
      </c>
      <c r="R41" s="241"/>
      <c r="S41" s="241"/>
      <c r="T41" s="241"/>
      <c r="U41" s="241"/>
      <c r="V41" s="241"/>
      <c r="W41" s="241"/>
      <c r="X41" s="241"/>
      <c r="Y41" s="215">
        <f>AK41</f>
        <v>35.333333333333336</v>
      </c>
      <c r="Z41" s="120"/>
      <c r="AA41" s="96">
        <f>S41+T41+U41+V41+W41+X41+Y41</f>
        <v>35.333333333333336</v>
      </c>
      <c r="AB41" s="97">
        <f>IF(C41=2012, AA41/3,AA41)+Z41</f>
        <v>35.333333333333336</v>
      </c>
      <c r="AC41" s="287"/>
      <c r="AD41" s="287"/>
      <c r="AE41" s="50"/>
      <c r="AF41" s="50"/>
      <c r="AG41" s="50"/>
      <c r="AH41" s="50">
        <f>AV41</f>
        <v>106</v>
      </c>
      <c r="AI41" s="120"/>
      <c r="AJ41" s="96">
        <f>SUM(AD41:AH41)</f>
        <v>106</v>
      </c>
      <c r="AK41" s="97">
        <f>IF(C41=2011, AJ41/3,AJ41)+AI41</f>
        <v>35.333333333333336</v>
      </c>
      <c r="AL41" s="22"/>
      <c r="AM41" s="41"/>
      <c r="AN41" s="67">
        <f>39+6</f>
        <v>45</v>
      </c>
      <c r="AO41" s="41"/>
      <c r="AP41" s="41">
        <f>53+8</f>
        <v>61</v>
      </c>
      <c r="AQ41" s="41"/>
      <c r="AR41" s="41"/>
      <c r="AT41" s="95"/>
      <c r="AU41" s="96">
        <f>SUM(AM41:AS41)</f>
        <v>106</v>
      </c>
      <c r="AV41" s="97">
        <f>IF(C41=2015, AU41/3,AU41)+AT41</f>
        <v>106</v>
      </c>
    </row>
    <row r="42" spans="1:67" x14ac:dyDescent="0.25">
      <c r="A42" s="60" t="s">
        <v>1157</v>
      </c>
      <c r="B42" s="65" t="s">
        <v>86</v>
      </c>
      <c r="C42" s="62">
        <v>2012</v>
      </c>
      <c r="D42" s="1">
        <f t="shared" si="20"/>
        <v>6</v>
      </c>
      <c r="L42" s="228">
        <f>6</f>
        <v>6</v>
      </c>
      <c r="M42" s="228"/>
      <c r="N42" s="267">
        <f t="shared" si="18"/>
        <v>0</v>
      </c>
      <c r="P42" s="96">
        <f t="shared" si="21"/>
        <v>6</v>
      </c>
      <c r="Q42" s="97">
        <f t="shared" si="19"/>
        <v>6</v>
      </c>
      <c r="R42" s="228"/>
      <c r="S42" s="228"/>
      <c r="T42" s="228"/>
      <c r="U42" s="228"/>
      <c r="V42" s="228"/>
      <c r="W42" s="228"/>
      <c r="X42" s="228"/>
      <c r="Y42" s="228"/>
      <c r="Z42" s="120"/>
      <c r="AA42" s="96"/>
      <c r="AB42" s="97"/>
      <c r="AC42" s="22"/>
      <c r="AD42" s="287"/>
      <c r="AE42" s="228"/>
      <c r="AF42" s="228"/>
      <c r="AG42" s="228"/>
      <c r="AH42" s="228"/>
      <c r="AI42" s="120"/>
      <c r="AJ42" s="96"/>
      <c r="AK42" s="97"/>
      <c r="AL42" s="22"/>
      <c r="AT42" s="95"/>
      <c r="AU42" s="96"/>
      <c r="AV42" s="9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</row>
    <row r="43" spans="1:67" x14ac:dyDescent="0.25">
      <c r="A43" s="11" t="s">
        <v>847</v>
      </c>
      <c r="B43" s="60" t="s">
        <v>404</v>
      </c>
      <c r="C43" s="62">
        <v>2012</v>
      </c>
      <c r="D43" s="1">
        <f t="shared" si="20"/>
        <v>62</v>
      </c>
      <c r="E43" s="283">
        <f>24+15</f>
        <v>39</v>
      </c>
      <c r="H43" s="280"/>
      <c r="J43" s="246">
        <f>0</f>
        <v>0</v>
      </c>
      <c r="M43" s="228"/>
      <c r="N43" s="267">
        <f t="shared" si="18"/>
        <v>23</v>
      </c>
      <c r="P43" s="96">
        <f t="shared" si="21"/>
        <v>23</v>
      </c>
      <c r="Q43" s="97">
        <f t="shared" si="19"/>
        <v>23</v>
      </c>
      <c r="R43" s="228"/>
      <c r="S43" s="228">
        <f>26</f>
        <v>26</v>
      </c>
      <c r="T43" s="228">
        <f>16</f>
        <v>16</v>
      </c>
      <c r="U43" s="228"/>
      <c r="V43" s="228">
        <f>16+4</f>
        <v>20</v>
      </c>
      <c r="W43" s="228">
        <f>0+7</f>
        <v>7</v>
      </c>
      <c r="X43" s="228"/>
      <c r="Y43" s="228">
        <f>AK43</f>
        <v>0</v>
      </c>
      <c r="Z43" s="120"/>
      <c r="AA43" s="96">
        <f>S43+T43+U43+V43+W43+X43+Y43</f>
        <v>69</v>
      </c>
      <c r="AB43" s="97">
        <f>IF(C43=2012, AA43/3,AA43)+Z43</f>
        <v>23</v>
      </c>
      <c r="AC43" s="290"/>
      <c r="AD43" s="290"/>
      <c r="AE43" s="228"/>
      <c r="AF43" s="228"/>
      <c r="AG43" s="228"/>
      <c r="AH43" s="228">
        <f>AV43</f>
        <v>0</v>
      </c>
      <c r="AI43" s="120"/>
      <c r="AJ43" s="96">
        <f>SUM(AD43:AH43)</f>
        <v>0</v>
      </c>
      <c r="AK43" s="97">
        <f>IF(C43=2011, AJ43/3,AJ43)+AI43</f>
        <v>0</v>
      </c>
      <c r="AL43" s="22"/>
      <c r="AM43" s="41"/>
      <c r="AN43" s="41"/>
      <c r="AO43" s="41"/>
      <c r="AP43" s="41"/>
      <c r="AQ43" s="41">
        <f>0</f>
        <v>0</v>
      </c>
      <c r="AR43" s="41"/>
      <c r="AT43" s="95"/>
      <c r="AU43" s="96">
        <f>SUM(AM43:AS43)</f>
        <v>0</v>
      </c>
      <c r="AV43" s="97">
        <f>IF(C43=2015, AU43/3,AU43)+AT43</f>
        <v>0</v>
      </c>
    </row>
    <row r="44" spans="1:67" x14ac:dyDescent="0.25">
      <c r="A44" s="11" t="s">
        <v>399</v>
      </c>
      <c r="B44" s="60" t="s">
        <v>111</v>
      </c>
      <c r="C44" s="62">
        <v>2012</v>
      </c>
      <c r="D44" s="1">
        <f t="shared" si="20"/>
        <v>86.333333333333329</v>
      </c>
      <c r="E44" s="287"/>
      <c r="F44" s="287"/>
      <c r="H44" s="290"/>
      <c r="N44" s="267">
        <f t="shared" si="18"/>
        <v>86.333333333333329</v>
      </c>
      <c r="P44" s="96">
        <f t="shared" si="21"/>
        <v>86.333333333333329</v>
      </c>
      <c r="Q44" s="97">
        <f t="shared" si="19"/>
        <v>86.333333333333329</v>
      </c>
      <c r="S44" s="201"/>
      <c r="T44" s="201"/>
      <c r="U44" s="201">
        <f>32</f>
        <v>32</v>
      </c>
      <c r="V44" s="201">
        <f>34</f>
        <v>34</v>
      </c>
      <c r="W44" s="201">
        <f>50</f>
        <v>50</v>
      </c>
      <c r="X44" s="201">
        <f>16</f>
        <v>16</v>
      </c>
      <c r="Y44" s="215">
        <f>AK44</f>
        <v>82</v>
      </c>
      <c r="Z44" s="120">
        <f>2+2+9+2</f>
        <v>15</v>
      </c>
      <c r="AA44" s="96">
        <f>S44+T44+U44+V44+W44+X44+Y44</f>
        <v>214</v>
      </c>
      <c r="AB44" s="97">
        <f>IF(C44=2012, AA44/3,AA44)+Z44</f>
        <v>86.333333333333329</v>
      </c>
      <c r="AC44" s="290"/>
      <c r="AD44" s="290"/>
      <c r="AE44" s="201"/>
      <c r="AF44" s="201">
        <f>47+2</f>
        <v>49</v>
      </c>
      <c r="AG44" s="201"/>
      <c r="AH44" s="201">
        <f>AV44</f>
        <v>21</v>
      </c>
      <c r="AI44" s="120">
        <f>12</f>
        <v>12</v>
      </c>
      <c r="AJ44" s="96">
        <f>SUM(AD44:AH44)</f>
        <v>70</v>
      </c>
      <c r="AK44" s="97">
        <f>IF(C44=2011, AJ44/3,AJ44)+AI44</f>
        <v>82</v>
      </c>
      <c r="AL44" s="22"/>
      <c r="AM44" s="41"/>
      <c r="AN44" s="41"/>
      <c r="AO44" s="41"/>
      <c r="AP44" s="41"/>
      <c r="AQ44" s="41">
        <f>21</f>
        <v>21</v>
      </c>
      <c r="AR44" s="41">
        <f>0</f>
        <v>0</v>
      </c>
      <c r="AT44" s="95"/>
      <c r="AU44" s="96">
        <f>SUM(AM44:AS44)</f>
        <v>21</v>
      </c>
      <c r="AV44" s="97">
        <f>IF(C44=2015, AU44/3,AU44)+AT44</f>
        <v>21</v>
      </c>
    </row>
    <row r="45" spans="1:67" x14ac:dyDescent="0.25">
      <c r="A45" s="60" t="s">
        <v>648</v>
      </c>
      <c r="B45" s="65" t="s">
        <v>64</v>
      </c>
      <c r="C45" s="62">
        <v>2010</v>
      </c>
      <c r="D45" s="1">
        <f t="shared" si="20"/>
        <v>55</v>
      </c>
      <c r="H45" s="280"/>
      <c r="N45" s="267">
        <f t="shared" si="18"/>
        <v>55</v>
      </c>
      <c r="P45" s="96">
        <f t="shared" si="21"/>
        <v>55</v>
      </c>
      <c r="Q45" s="97">
        <f t="shared" si="19"/>
        <v>55</v>
      </c>
      <c r="S45" s="201"/>
      <c r="T45" s="192"/>
      <c r="U45" s="183"/>
      <c r="V45" s="168"/>
      <c r="W45" s="50">
        <f>18</f>
        <v>18</v>
      </c>
      <c r="X45" s="50">
        <f>9</f>
        <v>9</v>
      </c>
      <c r="Y45" s="215">
        <f>AK45</f>
        <v>28</v>
      </c>
      <c r="Z45" s="120"/>
      <c r="AA45" s="96">
        <f>S45+T45+U45+V45+W45+X45+Y45</f>
        <v>55</v>
      </c>
      <c r="AB45" s="97">
        <f>IF(C45=2012, AA45/3,AA45)+Z45</f>
        <v>55</v>
      </c>
      <c r="AC45" s="22"/>
      <c r="AD45" s="287"/>
      <c r="AE45" s="50"/>
      <c r="AF45" s="50">
        <f>28</f>
        <v>28</v>
      </c>
      <c r="AG45" s="50"/>
      <c r="AH45" s="50"/>
      <c r="AI45" s="120"/>
      <c r="AJ45" s="96">
        <f>SUM(AD45:AH45)</f>
        <v>28</v>
      </c>
      <c r="AK45" s="97">
        <f>IF(C45=2011, AJ45/3,AJ45)+AI45</f>
        <v>28</v>
      </c>
      <c r="AL45" s="22"/>
      <c r="AT45" s="95"/>
      <c r="AU45" s="96"/>
      <c r="AV45" s="9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</row>
    <row r="46" spans="1:67" x14ac:dyDescent="0.25">
      <c r="A46" s="11" t="s">
        <v>317</v>
      </c>
      <c r="B46" s="60" t="s">
        <v>86</v>
      </c>
      <c r="C46" s="62">
        <v>2011</v>
      </c>
      <c r="D46" s="1">
        <f t="shared" si="20"/>
        <v>0</v>
      </c>
      <c r="E46" s="108"/>
      <c r="F46" s="108"/>
      <c r="H46" s="101"/>
      <c r="J46" s="261"/>
      <c r="K46" s="261"/>
      <c r="L46" s="261"/>
      <c r="M46" s="261"/>
      <c r="N46" s="267">
        <f t="shared" si="18"/>
        <v>0</v>
      </c>
      <c r="P46" s="96">
        <f t="shared" si="21"/>
        <v>0</v>
      </c>
      <c r="Q46" s="97">
        <f t="shared" si="19"/>
        <v>0</v>
      </c>
      <c r="R46" s="261"/>
      <c r="S46" s="261"/>
      <c r="T46" s="261"/>
      <c r="U46" s="261"/>
      <c r="V46" s="261"/>
      <c r="W46" s="261"/>
      <c r="X46" s="261"/>
      <c r="Y46" s="215">
        <f>AK46</f>
        <v>0</v>
      </c>
      <c r="Z46" s="120"/>
      <c r="AA46" s="96">
        <f>S46+T46+U46+V46+W46+X46+Y46</f>
        <v>0</v>
      </c>
      <c r="AB46" s="97">
        <f>IF(C46=2012, AA46/3,AA46)+Z46</f>
        <v>0</v>
      </c>
      <c r="AC46" s="267"/>
      <c r="AD46" s="267"/>
      <c r="AE46" s="261"/>
      <c r="AF46" s="261"/>
      <c r="AG46" s="261"/>
      <c r="AH46" s="261">
        <f>AV46</f>
        <v>0</v>
      </c>
      <c r="AI46" s="120"/>
      <c r="AJ46" s="96">
        <f>SUM(AD46:AH46)</f>
        <v>0</v>
      </c>
      <c r="AK46" s="97">
        <f>IF(C46=2011, AJ46/3,AJ46)+AI46</f>
        <v>0</v>
      </c>
      <c r="AL46" s="22"/>
      <c r="AM46" s="41"/>
      <c r="AN46" s="41"/>
      <c r="AO46" s="41"/>
      <c r="AP46" s="41">
        <f>0</f>
        <v>0</v>
      </c>
      <c r="AQ46" s="41"/>
      <c r="AR46" s="41"/>
      <c r="AT46" s="95"/>
      <c r="AU46" s="96">
        <f>SUM(AM46:AS46)</f>
        <v>0</v>
      </c>
      <c r="AV46" s="97">
        <f>IF(C46=2015, AU46/3,AU46)+AT46</f>
        <v>0</v>
      </c>
    </row>
    <row r="47" spans="1:67" x14ac:dyDescent="0.25">
      <c r="A47" s="11" t="s">
        <v>1233</v>
      </c>
      <c r="B47" s="60" t="s">
        <v>64</v>
      </c>
      <c r="C47" s="62">
        <v>2013</v>
      </c>
      <c r="D47" s="1">
        <f>Q47+F47+E47</f>
        <v>60</v>
      </c>
      <c r="E47" s="283">
        <f>27</f>
        <v>27</v>
      </c>
      <c r="G47" s="120">
        <f>3</f>
        <v>3</v>
      </c>
      <c r="H47" s="280"/>
      <c r="I47" s="261">
        <f>48</f>
        <v>48</v>
      </c>
      <c r="J47" s="256"/>
      <c r="K47" s="256">
        <f>42</f>
        <v>42</v>
      </c>
      <c r="L47" s="256"/>
      <c r="M47" s="256"/>
      <c r="N47" s="267">
        <f t="shared" si="18"/>
        <v>0</v>
      </c>
      <c r="O47" s="120">
        <f>3</f>
        <v>3</v>
      </c>
      <c r="P47" s="96">
        <f>I47+J47+K47+L47+M47+N47</f>
        <v>90</v>
      </c>
      <c r="Q47" s="97">
        <f t="shared" si="19"/>
        <v>33</v>
      </c>
      <c r="R47" s="256"/>
      <c r="S47" s="256"/>
      <c r="T47" s="256"/>
      <c r="U47" s="256"/>
      <c r="V47" s="256"/>
      <c r="W47" s="256"/>
      <c r="X47" s="256"/>
      <c r="Y47" s="215"/>
      <c r="Z47" s="152"/>
      <c r="AA47" s="96"/>
      <c r="AB47" s="97"/>
      <c r="AC47" s="290"/>
      <c r="AD47" s="290"/>
      <c r="AE47" s="192"/>
      <c r="AF47" s="192"/>
      <c r="AG47" s="192"/>
      <c r="AH47" s="192"/>
      <c r="AI47" s="120"/>
      <c r="AJ47" s="96"/>
      <c r="AK47" s="97"/>
      <c r="AL47" s="22"/>
      <c r="AM47" s="287"/>
      <c r="AN47" s="287"/>
      <c r="AO47" s="287"/>
      <c r="AP47" s="287"/>
      <c r="AQ47" s="287"/>
      <c r="AR47" s="287"/>
      <c r="AS47" s="22"/>
      <c r="AT47" s="68"/>
      <c r="AU47" s="96"/>
      <c r="AV47" s="9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</row>
    <row r="48" spans="1:67" x14ac:dyDescent="0.25">
      <c r="A48" s="11" t="s">
        <v>845</v>
      </c>
      <c r="B48" s="60" t="s">
        <v>85</v>
      </c>
      <c r="C48" s="62">
        <v>2012</v>
      </c>
      <c r="D48" s="1">
        <f t="shared" ref="D48:D79" si="22">Q48+E48</f>
        <v>9.6666666666666661</v>
      </c>
      <c r="E48" s="287"/>
      <c r="F48" s="287"/>
      <c r="H48" s="280"/>
      <c r="N48" s="267">
        <f t="shared" si="18"/>
        <v>9.6666666666666661</v>
      </c>
      <c r="P48" s="96">
        <f t="shared" ref="P48:P79" si="23">I48+J48+K48+L48+N48</f>
        <v>9.6666666666666661</v>
      </c>
      <c r="Q48" s="97">
        <f t="shared" si="19"/>
        <v>9.6666666666666661</v>
      </c>
      <c r="S48" s="201"/>
      <c r="T48" s="192"/>
      <c r="U48" s="192"/>
      <c r="V48" s="192"/>
      <c r="W48" s="192">
        <f>22+4+3</f>
        <v>29</v>
      </c>
      <c r="X48" s="192"/>
      <c r="Y48" s="215">
        <f>AK48</f>
        <v>0</v>
      </c>
      <c r="Z48" s="152"/>
      <c r="AA48" s="96">
        <f>S48+T48+U48+V48+W48+X48+Y48</f>
        <v>29</v>
      </c>
      <c r="AB48" s="97">
        <f>IF(C48=2012, AA48/3,AA48)+Z48</f>
        <v>9.6666666666666661</v>
      </c>
      <c r="AC48" s="290"/>
      <c r="AD48" s="290"/>
      <c r="AE48" s="192"/>
      <c r="AF48" s="192"/>
      <c r="AG48" s="192"/>
      <c r="AH48" s="192"/>
      <c r="AI48" s="120"/>
      <c r="AJ48" s="96">
        <f>SUM(AD48:AH48)</f>
        <v>0</v>
      </c>
      <c r="AK48" s="97">
        <f>IF(C48=2011, AJ48/3,AJ48)+AI48</f>
        <v>0</v>
      </c>
      <c r="AL48" s="22"/>
      <c r="AM48" s="287"/>
      <c r="AN48" s="287"/>
      <c r="AO48" s="287"/>
      <c r="AP48" s="287"/>
      <c r="AQ48" s="287"/>
      <c r="AR48" s="287"/>
      <c r="AS48" s="22"/>
      <c r="AT48" s="68"/>
      <c r="AU48" s="96"/>
      <c r="AV48" s="9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</row>
    <row r="49" spans="1:67" x14ac:dyDescent="0.25">
      <c r="A49" s="60" t="s">
        <v>1156</v>
      </c>
      <c r="B49" s="65" t="s">
        <v>86</v>
      </c>
      <c r="C49" s="62">
        <v>2010</v>
      </c>
      <c r="D49" s="1">
        <f t="shared" si="22"/>
        <v>8</v>
      </c>
      <c r="L49" s="228">
        <f>8</f>
        <v>8</v>
      </c>
      <c r="M49" s="228"/>
      <c r="N49" s="267">
        <f t="shared" si="18"/>
        <v>0</v>
      </c>
      <c r="P49" s="96">
        <f t="shared" si="23"/>
        <v>8</v>
      </c>
      <c r="Q49" s="97">
        <f t="shared" si="19"/>
        <v>8</v>
      </c>
      <c r="R49" s="228"/>
      <c r="S49" s="228"/>
      <c r="T49" s="228"/>
      <c r="U49" s="228"/>
      <c r="V49" s="228"/>
      <c r="W49" s="228"/>
      <c r="X49" s="228"/>
      <c r="Y49" s="228"/>
      <c r="Z49" s="120"/>
      <c r="AA49" s="96"/>
      <c r="AB49" s="97"/>
      <c r="AC49" s="22"/>
      <c r="AD49" s="267"/>
      <c r="AE49" s="228"/>
      <c r="AF49" s="228"/>
      <c r="AG49" s="228"/>
      <c r="AH49" s="228"/>
      <c r="AI49" s="120"/>
      <c r="AJ49" s="96"/>
      <c r="AK49" s="97"/>
      <c r="AL49" s="22"/>
      <c r="AT49" s="95"/>
      <c r="AU49" s="96"/>
      <c r="AV49" s="9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</row>
    <row r="50" spans="1:67" x14ac:dyDescent="0.25">
      <c r="A50" s="11" t="s">
        <v>102</v>
      </c>
      <c r="B50" s="60" t="s">
        <v>64</v>
      </c>
      <c r="C50" s="62">
        <v>2011</v>
      </c>
      <c r="D50" s="1">
        <f t="shared" si="22"/>
        <v>21</v>
      </c>
      <c r="E50" s="283">
        <f>0</f>
        <v>0</v>
      </c>
      <c r="H50" s="280"/>
      <c r="I50" s="261">
        <f>0</f>
        <v>0</v>
      </c>
      <c r="J50" s="261"/>
      <c r="K50" s="261">
        <f>0</f>
        <v>0</v>
      </c>
      <c r="L50" s="261"/>
      <c r="M50" s="261"/>
      <c r="N50" s="267">
        <f t="shared" si="18"/>
        <v>21</v>
      </c>
      <c r="P50" s="96">
        <f t="shared" si="23"/>
        <v>21</v>
      </c>
      <c r="Q50" s="97">
        <f t="shared" si="19"/>
        <v>21</v>
      </c>
      <c r="R50" s="261"/>
      <c r="S50" s="261"/>
      <c r="T50" s="261">
        <f>0</f>
        <v>0</v>
      </c>
      <c r="U50" s="261"/>
      <c r="V50" s="261"/>
      <c r="W50" s="261">
        <f>15</f>
        <v>15</v>
      </c>
      <c r="X50" s="261">
        <f>0+6</f>
        <v>6</v>
      </c>
      <c r="Y50" s="215">
        <f t="shared" ref="Y50:Y56" si="24">AK50</f>
        <v>0</v>
      </c>
      <c r="Z50" s="120"/>
      <c r="AA50" s="96">
        <f t="shared" ref="AA50:AA56" si="25">S50+T50+U50+V50+W50+X50+Y50</f>
        <v>21</v>
      </c>
      <c r="AB50" s="97">
        <f t="shared" ref="AB50:AB56" si="26">IF(C50=2012, AA50/3,AA50)+Z50</f>
        <v>21</v>
      </c>
      <c r="AC50" s="287"/>
      <c r="AD50" s="267"/>
      <c r="AE50" s="261"/>
      <c r="AF50" s="261"/>
      <c r="AG50" s="261">
        <f>0</f>
        <v>0</v>
      </c>
      <c r="AH50" s="261">
        <f>AV50</f>
        <v>0</v>
      </c>
      <c r="AI50" s="120"/>
      <c r="AJ50" s="96">
        <f t="shared" ref="AJ50:AJ56" si="27">SUM(AD50:AH50)</f>
        <v>0</v>
      </c>
      <c r="AK50" s="97">
        <f>IF(C50=2016, AJ50/3,AJ50)+AI50</f>
        <v>0</v>
      </c>
      <c r="AL50" s="22"/>
      <c r="AM50" s="287"/>
      <c r="AN50" s="287">
        <v>0</v>
      </c>
      <c r="AO50" s="287"/>
      <c r="AP50" s="287"/>
      <c r="AQ50" s="287"/>
      <c r="AR50" s="287"/>
      <c r="AS50" s="22"/>
      <c r="AT50" s="95"/>
      <c r="AU50" s="96">
        <f>SUM(AM50:AS50)</f>
        <v>0</v>
      </c>
      <c r="AV50" s="97">
        <f>IF(C50=2015, AU50/3,AU50)+AT50</f>
        <v>0</v>
      </c>
    </row>
    <row r="51" spans="1:67" x14ac:dyDescent="0.25">
      <c r="A51" s="60" t="s">
        <v>576</v>
      </c>
      <c r="B51" s="65" t="s">
        <v>64</v>
      </c>
      <c r="C51" s="62">
        <v>2010</v>
      </c>
      <c r="D51" s="1">
        <f t="shared" si="22"/>
        <v>45</v>
      </c>
      <c r="H51" s="280"/>
      <c r="J51" s="261"/>
      <c r="K51" s="261"/>
      <c r="L51" s="261"/>
      <c r="M51" s="261"/>
      <c r="N51" s="267">
        <f t="shared" si="18"/>
        <v>45</v>
      </c>
      <c r="P51" s="96">
        <f t="shared" si="23"/>
        <v>45</v>
      </c>
      <c r="Q51" s="97">
        <f t="shared" si="19"/>
        <v>45</v>
      </c>
      <c r="R51" s="261"/>
      <c r="S51" s="261"/>
      <c r="T51" s="261"/>
      <c r="U51" s="261"/>
      <c r="V51" s="261"/>
      <c r="W51" s="261"/>
      <c r="X51" s="261"/>
      <c r="Y51" s="228">
        <f t="shared" si="24"/>
        <v>45</v>
      </c>
      <c r="Z51" s="120"/>
      <c r="AA51" s="96">
        <f t="shared" si="25"/>
        <v>45</v>
      </c>
      <c r="AB51" s="97">
        <f t="shared" si="26"/>
        <v>45</v>
      </c>
      <c r="AC51" s="22"/>
      <c r="AD51" s="267"/>
      <c r="AE51" s="261"/>
      <c r="AF51" s="261">
        <f>39</f>
        <v>39</v>
      </c>
      <c r="AG51" s="261">
        <f>3+3</f>
        <v>6</v>
      </c>
      <c r="AH51" s="261">
        <v>0</v>
      </c>
      <c r="AI51" s="120"/>
      <c r="AJ51" s="96">
        <f t="shared" si="27"/>
        <v>45</v>
      </c>
      <c r="AK51" s="97">
        <f>IF(C51=2011, AJ51/3,AJ51)+AI51</f>
        <v>45</v>
      </c>
      <c r="AL51" s="22"/>
      <c r="AN51" s="13">
        <v>0</v>
      </c>
      <c r="AT51" s="95"/>
      <c r="AU51" s="96"/>
      <c r="AV51" s="9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</row>
    <row r="52" spans="1:67" x14ac:dyDescent="0.25">
      <c r="A52" s="60" t="s">
        <v>638</v>
      </c>
      <c r="B52" s="11" t="s">
        <v>23</v>
      </c>
      <c r="C52" s="62"/>
      <c r="D52" s="1">
        <f t="shared" si="22"/>
        <v>37</v>
      </c>
      <c r="E52" s="154"/>
      <c r="F52" s="154"/>
      <c r="H52" s="280"/>
      <c r="M52" s="228"/>
      <c r="N52" s="267">
        <f t="shared" si="18"/>
        <v>37</v>
      </c>
      <c r="P52" s="96">
        <f t="shared" si="23"/>
        <v>37</v>
      </c>
      <c r="Q52" s="97">
        <f t="shared" si="19"/>
        <v>37</v>
      </c>
      <c r="R52" s="228"/>
      <c r="S52" s="228"/>
      <c r="T52" s="228"/>
      <c r="U52" s="228"/>
      <c r="V52" s="228"/>
      <c r="W52" s="228"/>
      <c r="X52" s="228"/>
      <c r="Y52" s="228">
        <f t="shared" si="24"/>
        <v>37</v>
      </c>
      <c r="Z52" s="120"/>
      <c r="AA52" s="96">
        <f t="shared" si="25"/>
        <v>37</v>
      </c>
      <c r="AB52" s="97">
        <f t="shared" si="26"/>
        <v>37</v>
      </c>
      <c r="AC52" s="22"/>
      <c r="AD52" s="287"/>
      <c r="AE52" s="228"/>
      <c r="AF52" s="228">
        <f>37</f>
        <v>37</v>
      </c>
      <c r="AG52" s="228"/>
      <c r="AH52" s="228"/>
      <c r="AI52" s="120"/>
      <c r="AJ52" s="96">
        <f t="shared" si="27"/>
        <v>37</v>
      </c>
      <c r="AK52" s="97">
        <f>IF(C52=2011, AJ52/3,AJ52)+AI52</f>
        <v>37</v>
      </c>
      <c r="AL52" s="22"/>
      <c r="AT52" s="95"/>
      <c r="AU52" s="96"/>
      <c r="AV52" s="9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</row>
    <row r="53" spans="1:67" x14ac:dyDescent="0.25">
      <c r="A53" s="60" t="s">
        <v>569</v>
      </c>
      <c r="B53" s="65" t="s">
        <v>64</v>
      </c>
      <c r="C53" s="62">
        <v>2010</v>
      </c>
      <c r="D53" s="1">
        <f t="shared" si="22"/>
        <v>33</v>
      </c>
      <c r="H53" s="280"/>
      <c r="L53" s="231"/>
      <c r="M53" s="231"/>
      <c r="N53" s="267">
        <f t="shared" si="18"/>
        <v>33</v>
      </c>
      <c r="P53" s="96">
        <f t="shared" si="23"/>
        <v>33</v>
      </c>
      <c r="Q53" s="97">
        <f t="shared" si="19"/>
        <v>33</v>
      </c>
      <c r="R53" s="231"/>
      <c r="S53" s="231"/>
      <c r="T53" s="231"/>
      <c r="U53" s="231"/>
      <c r="V53" s="231"/>
      <c r="W53" s="231"/>
      <c r="X53" s="231"/>
      <c r="Y53" s="215">
        <f t="shared" si="24"/>
        <v>33</v>
      </c>
      <c r="Z53" s="120"/>
      <c r="AA53" s="96">
        <f t="shared" si="25"/>
        <v>33</v>
      </c>
      <c r="AB53" s="97">
        <f t="shared" si="26"/>
        <v>33</v>
      </c>
      <c r="AC53" s="22"/>
      <c r="AD53" s="287"/>
      <c r="AE53" s="231"/>
      <c r="AF53" s="231">
        <f>12</f>
        <v>12</v>
      </c>
      <c r="AG53" s="231">
        <f>21</f>
        <v>21</v>
      </c>
      <c r="AH53" s="231"/>
      <c r="AI53" s="120"/>
      <c r="AJ53" s="96">
        <f t="shared" si="27"/>
        <v>33</v>
      </c>
      <c r="AK53" s="97">
        <f>IF(C53=2011, AJ53/3,AJ53)+AI53</f>
        <v>33</v>
      </c>
      <c r="AL53" s="22"/>
      <c r="AT53" s="95"/>
      <c r="AU53" s="96"/>
      <c r="AV53" s="9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</row>
    <row r="54" spans="1:67" x14ac:dyDescent="0.25">
      <c r="A54" s="60" t="s">
        <v>776</v>
      </c>
      <c r="B54" s="65" t="s">
        <v>629</v>
      </c>
      <c r="C54" s="62">
        <v>2011</v>
      </c>
      <c r="D54" s="1">
        <f t="shared" si="22"/>
        <v>28</v>
      </c>
      <c r="E54" s="287">
        <f>0</f>
        <v>0</v>
      </c>
      <c r="F54" s="287"/>
      <c r="H54" s="280"/>
      <c r="I54" s="261">
        <f>0</f>
        <v>0</v>
      </c>
      <c r="J54" s="246">
        <f>0</f>
        <v>0</v>
      </c>
      <c r="L54" s="231"/>
      <c r="M54" s="231"/>
      <c r="N54" s="267">
        <f t="shared" si="18"/>
        <v>28</v>
      </c>
      <c r="P54" s="96">
        <f t="shared" si="23"/>
        <v>28</v>
      </c>
      <c r="Q54" s="97">
        <f t="shared" si="19"/>
        <v>28</v>
      </c>
      <c r="R54" s="231"/>
      <c r="S54" s="231"/>
      <c r="T54" s="231"/>
      <c r="U54" s="231"/>
      <c r="V54" s="231"/>
      <c r="W54" s="231">
        <f>0+5</f>
        <v>5</v>
      </c>
      <c r="X54" s="231">
        <f>19+4</f>
        <v>23</v>
      </c>
      <c r="Y54" s="215">
        <f t="shared" si="24"/>
        <v>0</v>
      </c>
      <c r="Z54" s="120"/>
      <c r="AA54" s="96">
        <f t="shared" si="25"/>
        <v>28</v>
      </c>
      <c r="AB54" s="97">
        <f t="shared" si="26"/>
        <v>28</v>
      </c>
      <c r="AC54" s="22"/>
      <c r="AD54" s="287"/>
      <c r="AE54" s="192"/>
      <c r="AF54" s="192"/>
      <c r="AG54" s="192"/>
      <c r="AH54" s="192"/>
      <c r="AI54" s="120"/>
      <c r="AJ54" s="96">
        <f t="shared" si="27"/>
        <v>0</v>
      </c>
      <c r="AK54" s="97"/>
      <c r="AL54" s="22"/>
      <c r="AT54" s="95"/>
      <c r="AU54" s="96"/>
      <c r="AV54" s="9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</row>
    <row r="55" spans="1:67" x14ac:dyDescent="0.25">
      <c r="A55" s="11" t="s">
        <v>322</v>
      </c>
      <c r="B55" s="60" t="s">
        <v>86</v>
      </c>
      <c r="C55" s="62">
        <v>2010</v>
      </c>
      <c r="D55" s="1">
        <f t="shared" si="22"/>
        <v>0</v>
      </c>
      <c r="E55" s="287"/>
      <c r="F55" s="287"/>
      <c r="H55" s="290"/>
      <c r="J55" s="261"/>
      <c r="K55" s="261"/>
      <c r="L55" s="261"/>
      <c r="M55" s="261"/>
      <c r="N55" s="267">
        <f t="shared" si="18"/>
        <v>0</v>
      </c>
      <c r="P55" s="96">
        <f t="shared" si="23"/>
        <v>0</v>
      </c>
      <c r="Q55" s="97">
        <f t="shared" si="19"/>
        <v>0</v>
      </c>
      <c r="R55" s="261"/>
      <c r="S55" s="261"/>
      <c r="T55" s="261"/>
      <c r="U55" s="261"/>
      <c r="V55" s="261"/>
      <c r="W55" s="261"/>
      <c r="X55" s="261"/>
      <c r="Y55" s="215">
        <f t="shared" si="24"/>
        <v>0</v>
      </c>
      <c r="Z55" s="120"/>
      <c r="AA55" s="96">
        <f t="shared" si="25"/>
        <v>0</v>
      </c>
      <c r="AB55" s="97">
        <f t="shared" si="26"/>
        <v>0</v>
      </c>
      <c r="AC55" s="22"/>
      <c r="AD55" s="287"/>
      <c r="AE55" s="261"/>
      <c r="AF55" s="261"/>
      <c r="AG55" s="261"/>
      <c r="AH55" s="261">
        <f>AV55</f>
        <v>0</v>
      </c>
      <c r="AI55" s="120"/>
      <c r="AJ55" s="96">
        <f t="shared" si="27"/>
        <v>0</v>
      </c>
      <c r="AK55" s="97">
        <f>IF(C55=2011, AJ55/3,AJ55)+AI55</f>
        <v>0</v>
      </c>
      <c r="AL55" s="22"/>
      <c r="AM55" s="41"/>
      <c r="AN55" s="41"/>
      <c r="AO55" s="41"/>
      <c r="AP55" s="41">
        <f>0</f>
        <v>0</v>
      </c>
      <c r="AQ55" s="41"/>
      <c r="AR55" s="41"/>
      <c r="AT55" s="95"/>
      <c r="AU55" s="96">
        <f>SUM(AM55:AS55)</f>
        <v>0</v>
      </c>
      <c r="AV55" s="97">
        <f>IF(C55=2010, AU55/3,AU55)+AT55</f>
        <v>0</v>
      </c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</row>
    <row r="56" spans="1:67" x14ac:dyDescent="0.25">
      <c r="A56" s="11" t="s">
        <v>858</v>
      </c>
      <c r="B56" s="60" t="s">
        <v>85</v>
      </c>
      <c r="C56" s="62">
        <v>2012</v>
      </c>
      <c r="D56" s="1">
        <f t="shared" si="22"/>
        <v>2.3333333333333335</v>
      </c>
      <c r="E56" s="154"/>
      <c r="F56" s="154"/>
      <c r="H56" s="290"/>
      <c r="N56" s="267">
        <f t="shared" si="18"/>
        <v>2.3333333333333335</v>
      </c>
      <c r="P56" s="96">
        <f t="shared" si="23"/>
        <v>2.3333333333333335</v>
      </c>
      <c r="Q56" s="97">
        <f t="shared" si="19"/>
        <v>2.3333333333333335</v>
      </c>
      <c r="S56" s="201"/>
      <c r="T56" s="192"/>
      <c r="U56" s="183"/>
      <c r="V56" s="168"/>
      <c r="W56" s="50">
        <f>4+3</f>
        <v>7</v>
      </c>
      <c r="X56" s="50"/>
      <c r="Y56" s="215">
        <f t="shared" si="24"/>
        <v>0</v>
      </c>
      <c r="Z56" s="152"/>
      <c r="AA56" s="96">
        <f t="shared" si="25"/>
        <v>7</v>
      </c>
      <c r="AB56" s="97">
        <f t="shared" si="26"/>
        <v>2.3333333333333335</v>
      </c>
      <c r="AC56" s="290"/>
      <c r="AD56" s="290"/>
      <c r="AE56" s="50"/>
      <c r="AF56" s="50"/>
      <c r="AG56" s="50"/>
      <c r="AH56" s="50"/>
      <c r="AI56" s="120"/>
      <c r="AJ56" s="96">
        <f t="shared" si="27"/>
        <v>0</v>
      </c>
      <c r="AK56" s="97">
        <f>IF(C56=2011, AJ56/3,AJ56)+AI56</f>
        <v>0</v>
      </c>
      <c r="AL56" s="22"/>
      <c r="AM56" s="287"/>
      <c r="AN56" s="287"/>
      <c r="AO56" s="287"/>
      <c r="AP56" s="287"/>
      <c r="AQ56" s="287"/>
      <c r="AR56" s="287"/>
      <c r="AS56" s="22"/>
      <c r="AT56" s="68"/>
      <c r="AU56" s="96"/>
      <c r="AV56" s="9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</row>
    <row r="57" spans="1:67" x14ac:dyDescent="0.25">
      <c r="A57" s="60" t="s">
        <v>1246</v>
      </c>
      <c r="B57" s="87" t="s">
        <v>64</v>
      </c>
      <c r="C57" s="62"/>
      <c r="D57" s="1">
        <f t="shared" si="22"/>
        <v>0</v>
      </c>
      <c r="I57" s="267"/>
      <c r="J57" s="267"/>
      <c r="K57" s="267">
        <f>0</f>
        <v>0</v>
      </c>
      <c r="L57" s="267"/>
      <c r="M57" s="267"/>
      <c r="N57" s="267">
        <f t="shared" si="18"/>
        <v>0</v>
      </c>
      <c r="P57" s="96">
        <f t="shared" si="23"/>
        <v>0</v>
      </c>
      <c r="Q57" s="97">
        <f t="shared" si="19"/>
        <v>0</v>
      </c>
      <c r="R57" s="267"/>
      <c r="S57" s="267"/>
      <c r="T57" s="267"/>
      <c r="U57" s="267"/>
      <c r="V57" s="267"/>
      <c r="W57" s="267"/>
      <c r="X57" s="267"/>
      <c r="Y57" s="215"/>
      <c r="Z57" s="120"/>
      <c r="AA57" s="96"/>
      <c r="AB57" s="97"/>
      <c r="AC57" s="22"/>
      <c r="AD57" s="287"/>
      <c r="AE57" s="256"/>
      <c r="AF57" s="256"/>
      <c r="AG57" s="256"/>
      <c r="AH57" s="256"/>
      <c r="AI57" s="120"/>
      <c r="AJ57" s="96"/>
      <c r="AK57" s="97"/>
      <c r="AL57" s="22"/>
      <c r="AT57" s="95"/>
      <c r="AU57" s="96"/>
      <c r="AV57" s="9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</row>
    <row r="58" spans="1:67" x14ac:dyDescent="0.25">
      <c r="A58" s="60" t="s">
        <v>1241</v>
      </c>
      <c r="B58" s="65" t="s">
        <v>1355</v>
      </c>
      <c r="C58" s="62"/>
      <c r="D58" s="1">
        <f t="shared" si="22"/>
        <v>18</v>
      </c>
      <c r="E58" s="287"/>
      <c r="F58" s="287"/>
      <c r="I58" s="261">
        <f>12</f>
        <v>12</v>
      </c>
      <c r="K58" s="241">
        <f>6</f>
        <v>6</v>
      </c>
      <c r="N58" s="267">
        <f t="shared" si="18"/>
        <v>0</v>
      </c>
      <c r="P58" s="96">
        <f t="shared" si="23"/>
        <v>18</v>
      </c>
      <c r="Q58" s="97">
        <f t="shared" si="19"/>
        <v>18</v>
      </c>
      <c r="S58" s="215"/>
      <c r="T58" s="215"/>
      <c r="U58" s="215"/>
      <c r="V58" s="215"/>
      <c r="W58" s="215"/>
      <c r="X58" s="215"/>
      <c r="Y58" s="215"/>
      <c r="Z58" s="120"/>
      <c r="AA58" s="96"/>
      <c r="AB58" s="97"/>
      <c r="AC58" s="22"/>
      <c r="AD58" s="267"/>
      <c r="AE58" s="201"/>
      <c r="AF58" s="201"/>
      <c r="AG58" s="201"/>
      <c r="AH58" s="201"/>
      <c r="AI58" s="120"/>
      <c r="AJ58" s="96"/>
      <c r="AK58" s="97"/>
      <c r="AL58" s="22"/>
      <c r="AT58" s="95"/>
      <c r="AU58" s="96"/>
      <c r="AV58" s="9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</row>
    <row r="59" spans="1:67" x14ac:dyDescent="0.25">
      <c r="A59" s="11" t="s">
        <v>481</v>
      </c>
      <c r="B59" s="60" t="s">
        <v>7</v>
      </c>
      <c r="C59" s="62">
        <v>2013</v>
      </c>
      <c r="D59" s="1">
        <f t="shared" si="22"/>
        <v>0.66666666666666663</v>
      </c>
      <c r="H59" s="280"/>
      <c r="N59" s="267">
        <f t="shared" si="18"/>
        <v>2</v>
      </c>
      <c r="P59" s="96">
        <f t="shared" si="23"/>
        <v>2</v>
      </c>
      <c r="Q59" s="97">
        <f t="shared" si="19"/>
        <v>0.66666666666666663</v>
      </c>
      <c r="S59" s="201"/>
      <c r="T59" s="192"/>
      <c r="U59" s="183"/>
      <c r="V59" s="168"/>
      <c r="W59" s="50"/>
      <c r="X59" s="50"/>
      <c r="Y59" s="215">
        <f>AK59</f>
        <v>2</v>
      </c>
      <c r="Z59" s="120"/>
      <c r="AA59" s="96">
        <f>AM59+S59+T59+U59+V59+W59+X59+Y59</f>
        <v>2</v>
      </c>
      <c r="AB59" s="97">
        <f>IF(C59=2017, AA59/3,AA59)+Z59</f>
        <v>2</v>
      </c>
      <c r="AC59" s="290"/>
      <c r="AD59" s="290"/>
      <c r="AE59" s="50"/>
      <c r="AF59" s="50">
        <f>2</f>
        <v>2</v>
      </c>
      <c r="AG59" s="50"/>
      <c r="AH59" s="50">
        <f>AV59</f>
        <v>0</v>
      </c>
      <c r="AI59" s="120"/>
      <c r="AJ59" s="96">
        <f>SUM(AE59:AH59)</f>
        <v>2</v>
      </c>
      <c r="AK59" s="97">
        <f>IF(C59=2016, AJ59/3,AJ59)+AI59</f>
        <v>2</v>
      </c>
      <c r="AL59" s="22"/>
      <c r="AM59" s="41"/>
      <c r="AN59" s="41"/>
      <c r="AO59" s="41"/>
      <c r="AP59" s="41"/>
      <c r="AQ59" s="41"/>
      <c r="AR59" s="41">
        <f>0</f>
        <v>0</v>
      </c>
      <c r="AT59" s="95"/>
      <c r="AU59" s="96">
        <f>SUM(AM59:AS59)</f>
        <v>0</v>
      </c>
      <c r="AV59" s="97">
        <f>IF(C59=2015, AU59/3,AU59)+AT59</f>
        <v>0</v>
      </c>
    </row>
    <row r="60" spans="1:67" x14ac:dyDescent="0.25">
      <c r="A60" s="11" t="s">
        <v>996</v>
      </c>
      <c r="B60" s="60" t="s">
        <v>86</v>
      </c>
      <c r="C60" s="62">
        <v>2012</v>
      </c>
      <c r="D60" s="1">
        <f t="shared" si="22"/>
        <v>33</v>
      </c>
      <c r="E60" s="154"/>
      <c r="F60" s="154"/>
      <c r="H60" s="280"/>
      <c r="L60" s="231">
        <f>22+4</f>
        <v>26</v>
      </c>
      <c r="M60" s="231"/>
      <c r="N60" s="267">
        <f t="shared" si="18"/>
        <v>7</v>
      </c>
      <c r="P60" s="96">
        <f t="shared" si="23"/>
        <v>33</v>
      </c>
      <c r="Q60" s="97">
        <f t="shared" si="19"/>
        <v>33</v>
      </c>
      <c r="R60" s="231"/>
      <c r="S60" s="231">
        <f>21</f>
        <v>21</v>
      </c>
      <c r="T60" s="231"/>
      <c r="U60" s="231"/>
      <c r="V60" s="231"/>
      <c r="W60" s="231"/>
      <c r="X60" s="231"/>
      <c r="Y60" s="215">
        <f>AK60</f>
        <v>0</v>
      </c>
      <c r="Z60" s="152"/>
      <c r="AA60" s="96">
        <f>S60+T60+U60+V60+W60+X60+Y60</f>
        <v>21</v>
      </c>
      <c r="AB60" s="97">
        <f>IF(C60=2012, AA60/3,AA60)+Z60</f>
        <v>7</v>
      </c>
      <c r="AC60" s="232"/>
      <c r="AD60" s="232"/>
      <c r="AE60" s="231"/>
      <c r="AF60" s="231"/>
      <c r="AG60" s="231"/>
      <c r="AH60" s="231"/>
      <c r="AI60" s="120"/>
      <c r="AJ60" s="96">
        <f>SUM(AD60:AH60)</f>
        <v>0</v>
      </c>
      <c r="AK60" s="97">
        <f>IF(C60=2011, AJ60/3,AJ60)+AI60</f>
        <v>0</v>
      </c>
      <c r="AL60" s="22"/>
      <c r="AM60" s="287"/>
      <c r="AN60" s="287"/>
      <c r="AO60" s="287"/>
      <c r="AP60" s="287"/>
      <c r="AQ60" s="287"/>
      <c r="AR60" s="287"/>
      <c r="AS60" s="22"/>
      <c r="AT60" s="68"/>
      <c r="AU60" s="96"/>
      <c r="AV60" s="9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</row>
    <row r="61" spans="1:67" s="17" customFormat="1" x14ac:dyDescent="0.25">
      <c r="A61" s="11" t="s">
        <v>131</v>
      </c>
      <c r="B61" s="60" t="s">
        <v>64</v>
      </c>
      <c r="C61" s="62">
        <v>2013</v>
      </c>
      <c r="D61" s="1">
        <f t="shared" si="22"/>
        <v>4.666666666666667</v>
      </c>
      <c r="E61" s="108"/>
      <c r="F61" s="108"/>
      <c r="G61" s="120"/>
      <c r="H61" s="101"/>
      <c r="I61" s="261"/>
      <c r="J61" s="246"/>
      <c r="K61" s="241"/>
      <c r="L61" s="228"/>
      <c r="M61" s="215"/>
      <c r="N61" s="267">
        <f t="shared" si="18"/>
        <v>14</v>
      </c>
      <c r="O61" s="120"/>
      <c r="P61" s="96">
        <f t="shared" si="23"/>
        <v>14</v>
      </c>
      <c r="Q61" s="97">
        <f t="shared" si="19"/>
        <v>4.666666666666667</v>
      </c>
      <c r="R61" s="215"/>
      <c r="S61" s="201"/>
      <c r="T61" s="192"/>
      <c r="U61" s="183"/>
      <c r="V61" s="168"/>
      <c r="W61" s="164"/>
      <c r="X61" s="164"/>
      <c r="Y61" s="215">
        <f>AK61</f>
        <v>14</v>
      </c>
      <c r="Z61" s="120"/>
      <c r="AA61" s="96">
        <f>AM61+S61+T61+U61+V61+W61+X61+Y61</f>
        <v>14</v>
      </c>
      <c r="AB61" s="97">
        <f>IF(C61=2017, AA61/3,AA61)+Z61</f>
        <v>14</v>
      </c>
      <c r="AC61" s="205"/>
      <c r="AD61" s="205"/>
      <c r="AE61" s="164"/>
      <c r="AF61" s="164"/>
      <c r="AG61" s="164"/>
      <c r="AH61" s="164">
        <f>AV61</f>
        <v>14</v>
      </c>
      <c r="AI61" s="120"/>
      <c r="AJ61" s="96">
        <f>SUM(AE61:AH61)</f>
        <v>14</v>
      </c>
      <c r="AK61" s="97">
        <f>IF(C61=2016, AJ61/3,AJ61)+AI61</f>
        <v>14</v>
      </c>
      <c r="AL61" s="22"/>
      <c r="AM61" s="41"/>
      <c r="AN61" s="41">
        <v>8</v>
      </c>
      <c r="AO61" s="41">
        <f>6</f>
        <v>6</v>
      </c>
      <c r="AP61" s="41"/>
      <c r="AQ61" s="41"/>
      <c r="AR61" s="41"/>
      <c r="AS61" s="13"/>
      <c r="AT61" s="95"/>
      <c r="AU61" s="96">
        <f>SUM(AM61:AS61)</f>
        <v>14</v>
      </c>
      <c r="AV61" s="97">
        <f>IF(C61=2015, AU61/3,AU61)+AT61</f>
        <v>14</v>
      </c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spans="1:67" x14ac:dyDescent="0.25">
      <c r="A62" s="60" t="s">
        <v>1052</v>
      </c>
      <c r="B62" s="65" t="s">
        <v>86</v>
      </c>
      <c r="C62" s="62">
        <v>2011</v>
      </c>
      <c r="D62" s="1">
        <f t="shared" si="22"/>
        <v>15</v>
      </c>
      <c r="E62" s="108"/>
      <c r="F62" s="108"/>
      <c r="H62" s="101"/>
      <c r="N62" s="267">
        <f t="shared" si="18"/>
        <v>15</v>
      </c>
      <c r="P62" s="96">
        <f t="shared" si="23"/>
        <v>15</v>
      </c>
      <c r="Q62" s="97">
        <f t="shared" si="19"/>
        <v>15</v>
      </c>
      <c r="S62" s="215">
        <f>15</f>
        <v>15</v>
      </c>
      <c r="T62" s="215"/>
      <c r="U62" s="215"/>
      <c r="V62" s="215"/>
      <c r="W62" s="215"/>
      <c r="X62" s="215"/>
      <c r="Y62" s="215">
        <f>AK62</f>
        <v>0</v>
      </c>
      <c r="Z62" s="120"/>
      <c r="AA62" s="96">
        <f>S62+T62+U62+V62+W62+X62+Y62</f>
        <v>15</v>
      </c>
      <c r="AB62" s="97">
        <f>IF(C62=2012, AA62/3,AA62)+Z62</f>
        <v>15</v>
      </c>
      <c r="AC62" s="22"/>
      <c r="AD62" s="287"/>
      <c r="AE62" s="215"/>
      <c r="AF62" s="215"/>
      <c r="AG62" s="215"/>
      <c r="AH62" s="215"/>
      <c r="AI62" s="120"/>
      <c r="AJ62" s="96">
        <f>SUM(AD62:AH62)</f>
        <v>0</v>
      </c>
      <c r="AK62" s="97">
        <f>IF(C62=2011, AJ62/3,AJ62)+AI62</f>
        <v>0</v>
      </c>
      <c r="AL62" s="22"/>
      <c r="AT62" s="95"/>
      <c r="AU62" s="96"/>
      <c r="AV62" s="9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</row>
    <row r="63" spans="1:67" x14ac:dyDescent="0.25">
      <c r="A63" s="11" t="s">
        <v>1174</v>
      </c>
      <c r="B63" s="87" t="s">
        <v>87</v>
      </c>
      <c r="C63" s="3">
        <v>2012</v>
      </c>
      <c r="D63" s="1">
        <f t="shared" si="22"/>
        <v>12</v>
      </c>
      <c r="L63" s="228">
        <v>12</v>
      </c>
      <c r="N63" s="267">
        <f t="shared" si="18"/>
        <v>0</v>
      </c>
      <c r="P63" s="96">
        <f t="shared" si="23"/>
        <v>12</v>
      </c>
      <c r="Q63" s="97">
        <f t="shared" si="19"/>
        <v>12</v>
      </c>
    </row>
    <row r="64" spans="1:67" x14ac:dyDescent="0.25">
      <c r="A64" s="11" t="s">
        <v>768</v>
      </c>
      <c r="B64" s="60" t="s">
        <v>296</v>
      </c>
      <c r="C64" s="62">
        <v>2013</v>
      </c>
      <c r="D64" s="1">
        <f t="shared" si="22"/>
        <v>12.666666666666666</v>
      </c>
      <c r="H64" s="290"/>
      <c r="I64" s="287"/>
      <c r="J64" s="287"/>
      <c r="K64" s="287"/>
      <c r="L64" s="287"/>
      <c r="M64" s="287"/>
      <c r="N64" s="267">
        <f t="shared" si="18"/>
        <v>38</v>
      </c>
      <c r="P64" s="96">
        <f t="shared" si="23"/>
        <v>38</v>
      </c>
      <c r="Q64" s="97">
        <f t="shared" si="19"/>
        <v>12.666666666666666</v>
      </c>
      <c r="R64" s="287"/>
      <c r="S64" s="201"/>
      <c r="T64" s="192"/>
      <c r="U64" s="183">
        <f>6</f>
        <v>6</v>
      </c>
      <c r="V64" s="168">
        <f>23</f>
        <v>23</v>
      </c>
      <c r="W64" s="168"/>
      <c r="X64" s="168">
        <f>9</f>
        <v>9</v>
      </c>
      <c r="Y64" s="215">
        <f t="shared" ref="Y64:Y70" si="28">AK64</f>
        <v>0</v>
      </c>
      <c r="Z64" s="152"/>
      <c r="AA64" s="96">
        <f>AM64+S64+T64+U64+V64+W64+X64+Y64</f>
        <v>38</v>
      </c>
      <c r="AB64" s="97">
        <f>IF(C64=2017, AA64/3,AA64)+Z64</f>
        <v>38</v>
      </c>
      <c r="AC64" s="290"/>
      <c r="AD64" s="290"/>
      <c r="AE64" s="168"/>
      <c r="AF64" s="168"/>
      <c r="AG64" s="168"/>
      <c r="AH64" s="168"/>
      <c r="AI64" s="120"/>
      <c r="AJ64" s="96">
        <f>SUM(AE64:AH64)</f>
        <v>0</v>
      </c>
      <c r="AK64" s="97">
        <f>IF(C64=2016, AJ64/3,AJ64)+AI64</f>
        <v>0</v>
      </c>
      <c r="AL64" s="22"/>
      <c r="AM64" s="151"/>
      <c r="AN64" s="151"/>
      <c r="AO64" s="151"/>
      <c r="AP64" s="151"/>
      <c r="AQ64" s="151"/>
      <c r="AR64" s="151"/>
      <c r="AT64" s="95"/>
      <c r="AU64" s="96"/>
      <c r="AV64" s="97"/>
    </row>
    <row r="65" spans="1:67" x14ac:dyDescent="0.25">
      <c r="A65" s="60" t="s">
        <v>916</v>
      </c>
      <c r="B65" s="65" t="s">
        <v>64</v>
      </c>
      <c r="C65" s="62"/>
      <c r="D65" s="1">
        <f t="shared" si="22"/>
        <v>3</v>
      </c>
      <c r="E65" s="108"/>
      <c r="F65" s="108"/>
      <c r="H65" s="101"/>
      <c r="N65" s="267">
        <f t="shared" si="18"/>
        <v>3</v>
      </c>
      <c r="P65" s="96">
        <f t="shared" si="23"/>
        <v>3</v>
      </c>
      <c r="Q65" s="97">
        <f t="shared" si="19"/>
        <v>3</v>
      </c>
      <c r="S65" s="201"/>
      <c r="T65" s="201"/>
      <c r="U65" s="201"/>
      <c r="V65" s="201">
        <f>3</f>
        <v>3</v>
      </c>
      <c r="W65" s="201"/>
      <c r="X65" s="201"/>
      <c r="Y65" s="215">
        <f t="shared" si="28"/>
        <v>0</v>
      </c>
      <c r="Z65" s="120"/>
      <c r="AA65" s="96">
        <f>S65+T65+U65+V65+W65+X65+Y65</f>
        <v>3</v>
      </c>
      <c r="AB65" s="97">
        <f>IF(C65=2012, AA65/3,AA65)+Z65</f>
        <v>3</v>
      </c>
      <c r="AC65" s="22"/>
      <c r="AD65" s="267"/>
      <c r="AE65" s="50"/>
      <c r="AF65" s="50"/>
      <c r="AG65" s="50"/>
      <c r="AH65" s="50"/>
      <c r="AI65" s="120"/>
      <c r="AJ65" s="96">
        <f>SUM(AD65:AH65)</f>
        <v>0</v>
      </c>
      <c r="AK65" s="97">
        <f>IF(C65=2011, AJ65/3,AJ65)+AI65</f>
        <v>0</v>
      </c>
      <c r="AL65" s="22"/>
      <c r="AT65" s="95"/>
      <c r="AU65" s="96"/>
      <c r="AV65" s="9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</row>
    <row r="66" spans="1:67" x14ac:dyDescent="0.25">
      <c r="A66" s="11" t="s">
        <v>122</v>
      </c>
      <c r="B66" s="60" t="s">
        <v>86</v>
      </c>
      <c r="C66" s="62">
        <v>2011</v>
      </c>
      <c r="D66" s="1">
        <f t="shared" si="22"/>
        <v>24.666666666666668</v>
      </c>
      <c r="H66" s="280"/>
      <c r="N66" s="267">
        <f t="shared" si="18"/>
        <v>24.666666666666668</v>
      </c>
      <c r="P66" s="96">
        <f t="shared" si="23"/>
        <v>24.666666666666668</v>
      </c>
      <c r="Q66" s="97">
        <f t="shared" si="19"/>
        <v>24.666666666666668</v>
      </c>
      <c r="S66" s="201"/>
      <c r="T66" s="192"/>
      <c r="U66" s="183"/>
      <c r="V66" s="168"/>
      <c r="W66" s="168"/>
      <c r="X66" s="168"/>
      <c r="Y66" s="215">
        <f t="shared" si="28"/>
        <v>24.666666666666668</v>
      </c>
      <c r="Z66" s="120"/>
      <c r="AA66" s="96">
        <f>S66+T66+U66+V66+W66+X66+Y66</f>
        <v>24.666666666666668</v>
      </c>
      <c r="AB66" s="97">
        <f>IF(C66=2012, AA66/3,AA66)+Z66</f>
        <v>24.666666666666668</v>
      </c>
      <c r="AC66" s="287"/>
      <c r="AD66" s="287"/>
      <c r="AE66" s="168"/>
      <c r="AF66" s="168"/>
      <c r="AG66" s="168"/>
      <c r="AH66" s="168">
        <f>AV66</f>
        <v>74</v>
      </c>
      <c r="AI66" s="120"/>
      <c r="AJ66" s="96">
        <f>SUM(AD66:AH66)</f>
        <v>74</v>
      </c>
      <c r="AK66" s="97">
        <f>IF(C66=2011, AJ66/3,AJ66)+AI66</f>
        <v>24.666666666666668</v>
      </c>
      <c r="AL66" s="22"/>
      <c r="AM66" s="41"/>
      <c r="AN66" s="41">
        <f>27+1</f>
        <v>28</v>
      </c>
      <c r="AO66" s="41"/>
      <c r="AP66" s="41">
        <f>45+1</f>
        <v>46</v>
      </c>
      <c r="AQ66" s="41"/>
      <c r="AR66" s="41"/>
      <c r="AT66" s="95"/>
      <c r="AU66" s="96">
        <f>SUM(AM66:AS66)</f>
        <v>74</v>
      </c>
      <c r="AV66" s="97">
        <f>IF(C66=2015, AU66/3,AU66)+AT66</f>
        <v>74</v>
      </c>
    </row>
    <row r="67" spans="1:67" x14ac:dyDescent="0.25">
      <c r="A67" s="11" t="s">
        <v>128</v>
      </c>
      <c r="B67" s="60" t="s">
        <v>63</v>
      </c>
      <c r="C67" s="62">
        <v>2012</v>
      </c>
      <c r="D67" s="1">
        <f t="shared" si="22"/>
        <v>69</v>
      </c>
      <c r="E67" s="287"/>
      <c r="F67" s="287"/>
      <c r="H67" s="290"/>
      <c r="I67" s="287"/>
      <c r="J67" s="287"/>
      <c r="K67" s="287"/>
      <c r="L67" s="287"/>
      <c r="M67" s="287"/>
      <c r="N67" s="267">
        <f t="shared" si="18"/>
        <v>69</v>
      </c>
      <c r="P67" s="96">
        <f t="shared" si="23"/>
        <v>69</v>
      </c>
      <c r="Q67" s="97">
        <f t="shared" si="19"/>
        <v>69</v>
      </c>
      <c r="R67" s="287"/>
      <c r="S67" s="256"/>
      <c r="T67" s="256"/>
      <c r="U67" s="256"/>
      <c r="V67" s="256"/>
      <c r="W67" s="256"/>
      <c r="X67" s="256"/>
      <c r="Y67" s="215">
        <f t="shared" si="28"/>
        <v>207</v>
      </c>
      <c r="Z67" s="120"/>
      <c r="AA67" s="96">
        <f>S67+T67+U67+V67+W67+X67+Y67</f>
        <v>207</v>
      </c>
      <c r="AB67" s="97">
        <f>IF(C67=2012, AA67/3,AA67)+Z67</f>
        <v>69</v>
      </c>
      <c r="AC67" s="269"/>
      <c r="AD67" s="269"/>
      <c r="AE67" s="215"/>
      <c r="AF67" s="215">
        <f>12+33</f>
        <v>45</v>
      </c>
      <c r="AG67" s="215">
        <f>38+45</f>
        <v>83</v>
      </c>
      <c r="AH67" s="215">
        <f>AV67</f>
        <v>79</v>
      </c>
      <c r="AI67" s="120"/>
      <c r="AJ67" s="96">
        <f>SUM(AD67:AH67)</f>
        <v>207</v>
      </c>
      <c r="AK67" s="97">
        <f>IF(C67=2011, AJ67/3,AJ67)+AI67</f>
        <v>207</v>
      </c>
      <c r="AL67" s="22"/>
      <c r="AM67" s="41"/>
      <c r="AN67" s="41">
        <v>20</v>
      </c>
      <c r="AO67" s="41">
        <f>6</f>
        <v>6</v>
      </c>
      <c r="AP67" s="41">
        <f>18</f>
        <v>18</v>
      </c>
      <c r="AQ67" s="41"/>
      <c r="AR67" s="41">
        <f>20+15</f>
        <v>35</v>
      </c>
      <c r="AT67" s="95"/>
      <c r="AU67" s="96">
        <f>SUM(AM67:AS67)</f>
        <v>79</v>
      </c>
      <c r="AV67" s="97">
        <f>IF(C67=2015, AU67/3,AU67)+AT67</f>
        <v>79</v>
      </c>
    </row>
    <row r="68" spans="1:67" x14ac:dyDescent="0.25">
      <c r="A68" s="11" t="s">
        <v>596</v>
      </c>
      <c r="B68" s="60" t="s">
        <v>0</v>
      </c>
      <c r="C68" s="3">
        <v>2012</v>
      </c>
      <c r="D68" s="1">
        <f t="shared" si="22"/>
        <v>164.33333333333334</v>
      </c>
      <c r="H68" s="290"/>
      <c r="L68" s="231"/>
      <c r="M68" s="231"/>
      <c r="N68" s="267">
        <f t="shared" si="18"/>
        <v>164.33333333333334</v>
      </c>
      <c r="P68" s="96">
        <f t="shared" si="23"/>
        <v>164.33333333333334</v>
      </c>
      <c r="Q68" s="97">
        <f t="shared" si="19"/>
        <v>164.33333333333334</v>
      </c>
      <c r="R68" s="231"/>
      <c r="S68" s="231"/>
      <c r="T68" s="231"/>
      <c r="U68" s="231"/>
      <c r="V68" s="231"/>
      <c r="W68" s="231"/>
      <c r="X68" s="231"/>
      <c r="Y68" s="215">
        <f t="shared" si="28"/>
        <v>493</v>
      </c>
      <c r="Z68" s="120"/>
      <c r="AA68" s="96">
        <f>S68+T68+U68+V68+W68+X68+Y68</f>
        <v>493</v>
      </c>
      <c r="AB68" s="97">
        <f>IF(C68=2012, AA68/3,AA68)+Z68</f>
        <v>164.33333333333334</v>
      </c>
      <c r="AC68" s="290"/>
      <c r="AD68" s="290"/>
      <c r="AE68" s="231">
        <f>30+54</f>
        <v>84</v>
      </c>
      <c r="AF68" s="231">
        <f>66+69</f>
        <v>135</v>
      </c>
      <c r="AG68" s="231">
        <f>63+21+3</f>
        <v>87</v>
      </c>
      <c r="AH68" s="231">
        <f>AV68</f>
        <v>187</v>
      </c>
      <c r="AI68" s="120"/>
      <c r="AJ68" s="96">
        <f>SUM(AD68:AH68)</f>
        <v>493</v>
      </c>
      <c r="AK68" s="97">
        <f>IF(C68=2016, AJ68/3,AJ68)+AI68</f>
        <v>493</v>
      </c>
      <c r="AL68" s="22"/>
      <c r="AM68" s="287"/>
      <c r="AN68" s="287"/>
      <c r="AO68" s="287"/>
      <c r="AP68" s="287"/>
      <c r="AQ68" s="287">
        <f>42</f>
        <v>42</v>
      </c>
      <c r="AR68" s="287">
        <f>40+48</f>
        <v>88</v>
      </c>
      <c r="AS68" s="22">
        <f>57</f>
        <v>57</v>
      </c>
      <c r="AT68" s="95"/>
      <c r="AU68" s="96">
        <f>SUM(AM68:AS68)</f>
        <v>187</v>
      </c>
      <c r="AV68" s="97">
        <f>IF(C68=2015, AU68/3,AU68)+AT68</f>
        <v>187</v>
      </c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</row>
    <row r="69" spans="1:67" x14ac:dyDescent="0.25">
      <c r="A69" s="11" t="s">
        <v>1006</v>
      </c>
      <c r="B69" s="60" t="s">
        <v>86</v>
      </c>
      <c r="C69" s="62">
        <v>2013</v>
      </c>
      <c r="D69" s="1">
        <f t="shared" si="22"/>
        <v>0.66666666666666663</v>
      </c>
      <c r="E69" s="287"/>
      <c r="F69" s="287"/>
      <c r="H69" s="280"/>
      <c r="I69" s="287"/>
      <c r="J69" s="287"/>
      <c r="K69" s="287"/>
      <c r="L69" s="287"/>
      <c r="M69" s="287"/>
      <c r="N69" s="267">
        <f t="shared" si="18"/>
        <v>2</v>
      </c>
      <c r="P69" s="96">
        <f t="shared" si="23"/>
        <v>2</v>
      </c>
      <c r="Q69" s="97">
        <f t="shared" si="19"/>
        <v>0.66666666666666663</v>
      </c>
      <c r="R69" s="287"/>
      <c r="S69" s="231">
        <f>0+2</f>
        <v>2</v>
      </c>
      <c r="T69" s="231"/>
      <c r="U69" s="231"/>
      <c r="V69" s="231"/>
      <c r="W69" s="231"/>
      <c r="X69" s="231"/>
      <c r="Y69" s="215">
        <f t="shared" si="28"/>
        <v>0</v>
      </c>
      <c r="Z69" s="152"/>
      <c r="AA69" s="96">
        <f>AM69+S69+T69+U69+V69+W69+X69+Y69</f>
        <v>2</v>
      </c>
      <c r="AB69" s="97">
        <f>IF(C69=2017, AA69/3,AA69)+Z69</f>
        <v>2</v>
      </c>
      <c r="AC69" s="232"/>
      <c r="AD69" s="232"/>
      <c r="AE69" s="231"/>
      <c r="AF69" s="231"/>
      <c r="AG69" s="231"/>
      <c r="AH69" s="231"/>
      <c r="AI69" s="120"/>
      <c r="AJ69" s="96">
        <f>SUM(AE69:AH69)</f>
        <v>0</v>
      </c>
      <c r="AK69" s="97">
        <f>IF(C69=2016, AJ69/3,AJ69)+AI69</f>
        <v>0</v>
      </c>
      <c r="AL69" s="22"/>
      <c r="AM69" s="151"/>
      <c r="AN69" s="151"/>
      <c r="AO69" s="151"/>
      <c r="AP69" s="151"/>
      <c r="AQ69" s="151"/>
      <c r="AR69" s="151"/>
      <c r="AT69" s="95"/>
      <c r="AU69" s="96"/>
      <c r="AV69" s="97"/>
    </row>
    <row r="70" spans="1:67" x14ac:dyDescent="0.25">
      <c r="A70" s="11" t="s">
        <v>1031</v>
      </c>
      <c r="B70" s="60" t="s">
        <v>86</v>
      </c>
      <c r="C70" s="62">
        <v>2013</v>
      </c>
      <c r="D70" s="1">
        <f t="shared" si="22"/>
        <v>0</v>
      </c>
      <c r="H70" s="280"/>
      <c r="L70" s="228">
        <f>0</f>
        <v>0</v>
      </c>
      <c r="N70" s="267">
        <f t="shared" si="18"/>
        <v>0</v>
      </c>
      <c r="P70" s="96">
        <f t="shared" si="23"/>
        <v>0</v>
      </c>
      <c r="Q70" s="97">
        <f t="shared" si="19"/>
        <v>0</v>
      </c>
      <c r="S70" s="215">
        <f>0</f>
        <v>0</v>
      </c>
      <c r="T70" s="215"/>
      <c r="U70" s="215"/>
      <c r="V70" s="215"/>
      <c r="W70" s="215"/>
      <c r="X70" s="215"/>
      <c r="Y70" s="215">
        <f t="shared" si="28"/>
        <v>0</v>
      </c>
      <c r="Z70" s="152"/>
      <c r="AA70" s="96">
        <f>AM70+S70+T70+U70+V70+W70+X70+Y70</f>
        <v>0</v>
      </c>
      <c r="AB70" s="97">
        <f>IF(C70=2017, AA70/3,AA70)+Z70</f>
        <v>0</v>
      </c>
      <c r="AC70" s="290"/>
      <c r="AD70" s="290"/>
      <c r="AE70" s="215"/>
      <c r="AF70" s="215"/>
      <c r="AG70" s="215"/>
      <c r="AH70" s="215"/>
      <c r="AI70" s="120"/>
      <c r="AJ70" s="96">
        <f>SUM(AE70:AH70)</f>
        <v>0</v>
      </c>
      <c r="AK70" s="97">
        <f>IF(C70=2016, AJ70/3,AJ70)+AI70</f>
        <v>0</v>
      </c>
      <c r="AL70" s="22"/>
      <c r="AM70" s="151"/>
      <c r="AN70" s="151"/>
      <c r="AO70" s="151"/>
      <c r="AP70" s="151"/>
      <c r="AQ70" s="151"/>
      <c r="AR70" s="151"/>
      <c r="AT70" s="95"/>
      <c r="AU70" s="96"/>
      <c r="AV70" s="97"/>
    </row>
    <row r="71" spans="1:67" x14ac:dyDescent="0.25">
      <c r="A71" s="11" t="s">
        <v>1162</v>
      </c>
      <c r="B71" s="87" t="s">
        <v>87</v>
      </c>
      <c r="C71" s="3">
        <v>2011</v>
      </c>
      <c r="D71" s="1">
        <f t="shared" si="22"/>
        <v>9</v>
      </c>
      <c r="E71" s="287"/>
      <c r="F71" s="287"/>
      <c r="L71" s="228">
        <f>9</f>
        <v>9</v>
      </c>
      <c r="N71" s="267">
        <f t="shared" si="18"/>
        <v>0</v>
      </c>
      <c r="P71" s="96">
        <f t="shared" si="23"/>
        <v>9</v>
      </c>
      <c r="Q71" s="97">
        <f t="shared" si="19"/>
        <v>9</v>
      </c>
    </row>
    <row r="72" spans="1:67" x14ac:dyDescent="0.25">
      <c r="A72" s="11" t="s">
        <v>117</v>
      </c>
      <c r="B72" s="60" t="s">
        <v>86</v>
      </c>
      <c r="C72" s="62">
        <v>2010</v>
      </c>
      <c r="D72" s="1">
        <f t="shared" si="22"/>
        <v>22</v>
      </c>
      <c r="I72" s="154"/>
      <c r="J72" s="154"/>
      <c r="K72" s="154"/>
      <c r="L72" s="154"/>
      <c r="M72" s="154"/>
      <c r="N72" s="267">
        <f t="shared" si="18"/>
        <v>22</v>
      </c>
      <c r="P72" s="96">
        <f t="shared" si="23"/>
        <v>22</v>
      </c>
      <c r="Q72" s="97">
        <f t="shared" si="19"/>
        <v>22</v>
      </c>
      <c r="R72" s="154"/>
      <c r="S72" s="261"/>
      <c r="T72" s="261"/>
      <c r="U72" s="261"/>
      <c r="V72" s="261"/>
      <c r="W72" s="261"/>
      <c r="X72" s="261"/>
      <c r="Y72" s="215">
        <f t="shared" ref="Y72:Y79" si="29">AK72</f>
        <v>22</v>
      </c>
      <c r="Z72" s="120"/>
      <c r="AA72" s="96">
        <f t="shared" ref="AA72:AA79" si="30">S72+T72+U72+V72+W72+X72+Y72</f>
        <v>22</v>
      </c>
      <c r="AB72" s="97">
        <f t="shared" ref="AB72:AB79" si="31">IF(C72=2012, AA72/3,AA72)+Z72</f>
        <v>22</v>
      </c>
      <c r="AC72" s="22"/>
      <c r="AD72" s="287"/>
      <c r="AE72" s="261"/>
      <c r="AF72" s="261"/>
      <c r="AG72" s="261"/>
      <c r="AH72" s="261">
        <f>AV72</f>
        <v>22</v>
      </c>
      <c r="AI72" s="120"/>
      <c r="AJ72" s="96">
        <f t="shared" ref="AJ72:AJ79" si="32">SUM(AD72:AH72)</f>
        <v>22</v>
      </c>
      <c r="AK72" s="97">
        <f>IF(C72=2011, AJ72/3,AJ72)+AI72</f>
        <v>22</v>
      </c>
      <c r="AL72" s="22"/>
      <c r="AM72" s="41"/>
      <c r="AN72" s="41">
        <f>36+1</f>
        <v>37</v>
      </c>
      <c r="AO72" s="41"/>
      <c r="AP72" s="41">
        <f>28+1</f>
        <v>29</v>
      </c>
      <c r="AQ72" s="41"/>
      <c r="AR72" s="41"/>
      <c r="AT72" s="95"/>
      <c r="AU72" s="96">
        <f>SUM(AM72:AS72)</f>
        <v>66</v>
      </c>
      <c r="AV72" s="97">
        <f>IF(C72=2010, AU72/3,AU72)+AT72</f>
        <v>22</v>
      </c>
    </row>
    <row r="73" spans="1:67" x14ac:dyDescent="0.25">
      <c r="A73" s="60" t="s">
        <v>811</v>
      </c>
      <c r="B73" s="65" t="s">
        <v>583</v>
      </c>
      <c r="C73" s="62">
        <v>2011</v>
      </c>
      <c r="D73" s="1">
        <f t="shared" si="22"/>
        <v>3</v>
      </c>
      <c r="H73" s="280"/>
      <c r="N73" s="267">
        <f t="shared" si="18"/>
        <v>3</v>
      </c>
      <c r="P73" s="96">
        <f t="shared" si="23"/>
        <v>3</v>
      </c>
      <c r="Q73" s="97">
        <f t="shared" si="19"/>
        <v>3</v>
      </c>
      <c r="S73" s="215"/>
      <c r="T73" s="215"/>
      <c r="U73" s="215"/>
      <c r="V73" s="215"/>
      <c r="W73" s="215"/>
      <c r="X73" s="215">
        <f>3</f>
        <v>3</v>
      </c>
      <c r="Y73" s="215">
        <f t="shared" si="29"/>
        <v>0</v>
      </c>
      <c r="Z73" s="120"/>
      <c r="AA73" s="96">
        <f t="shared" si="30"/>
        <v>3</v>
      </c>
      <c r="AB73" s="97">
        <f t="shared" si="31"/>
        <v>3</v>
      </c>
      <c r="AC73" s="22"/>
      <c r="AD73" s="267"/>
      <c r="AE73" s="215"/>
      <c r="AF73" s="215"/>
      <c r="AG73" s="215"/>
      <c r="AH73" s="215"/>
      <c r="AI73" s="120"/>
      <c r="AJ73" s="96">
        <f t="shared" si="32"/>
        <v>0</v>
      </c>
      <c r="AK73" s="97"/>
      <c r="AL73" s="22"/>
      <c r="AT73" s="95"/>
      <c r="AU73" s="96"/>
      <c r="AV73" s="9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</row>
    <row r="74" spans="1:67" x14ac:dyDescent="0.25">
      <c r="A74" s="11" t="s">
        <v>263</v>
      </c>
      <c r="B74" s="60" t="s">
        <v>64</v>
      </c>
      <c r="C74" s="62">
        <v>2012</v>
      </c>
      <c r="D74" s="1">
        <f t="shared" si="22"/>
        <v>0</v>
      </c>
      <c r="E74" s="287"/>
      <c r="F74" s="287"/>
      <c r="H74" s="280"/>
      <c r="N74" s="267">
        <f t="shared" si="18"/>
        <v>0</v>
      </c>
      <c r="P74" s="96">
        <f t="shared" si="23"/>
        <v>0</v>
      </c>
      <c r="Q74" s="97">
        <f t="shared" si="19"/>
        <v>0</v>
      </c>
      <c r="S74" s="201"/>
      <c r="T74" s="192"/>
      <c r="U74" s="183"/>
      <c r="V74" s="168"/>
      <c r="W74" s="50"/>
      <c r="X74" s="50"/>
      <c r="Y74" s="215">
        <f t="shared" si="29"/>
        <v>0</v>
      </c>
      <c r="Z74" s="120"/>
      <c r="AA74" s="96">
        <f t="shared" si="30"/>
        <v>0</v>
      </c>
      <c r="AB74" s="97">
        <f t="shared" si="31"/>
        <v>0</v>
      </c>
      <c r="AC74" s="269"/>
      <c r="AD74" s="269"/>
      <c r="AE74" s="50"/>
      <c r="AF74" s="50"/>
      <c r="AG74" s="50"/>
      <c r="AH74" s="50">
        <f>AV74</f>
        <v>0</v>
      </c>
      <c r="AI74" s="120"/>
      <c r="AJ74" s="96">
        <f t="shared" si="32"/>
        <v>0</v>
      </c>
      <c r="AK74" s="97">
        <f t="shared" ref="AK74:AK79" si="33">IF(C74=2011, AJ74/3,AJ74)+AI74</f>
        <v>0</v>
      </c>
      <c r="AL74" s="22"/>
      <c r="AM74" s="41"/>
      <c r="AN74" s="41"/>
      <c r="AO74" s="41">
        <f>0</f>
        <v>0</v>
      </c>
      <c r="AP74" s="41"/>
      <c r="AQ74" s="41"/>
      <c r="AR74" s="41"/>
      <c r="AT74" s="95"/>
      <c r="AU74" s="96">
        <f>SUM(AM74:AS74)</f>
        <v>0</v>
      </c>
      <c r="AV74" s="97">
        <f>IF(C74=2015, AU74/3,AU74)+AT74</f>
        <v>0</v>
      </c>
    </row>
    <row r="75" spans="1:67" x14ac:dyDescent="0.25">
      <c r="A75" s="11" t="s">
        <v>401</v>
      </c>
      <c r="B75" s="60" t="s">
        <v>7</v>
      </c>
      <c r="C75" s="62">
        <v>2012</v>
      </c>
      <c r="D75" s="1">
        <f t="shared" si="22"/>
        <v>18.666666666666668</v>
      </c>
      <c r="E75" s="108"/>
      <c r="F75" s="108"/>
      <c r="H75" s="101"/>
      <c r="I75" s="108"/>
      <c r="J75" s="108">
        <f>0</f>
        <v>0</v>
      </c>
      <c r="K75" s="108"/>
      <c r="L75" s="108">
        <f>0</f>
        <v>0</v>
      </c>
      <c r="M75" s="108"/>
      <c r="N75" s="267">
        <f t="shared" si="18"/>
        <v>18.666666666666668</v>
      </c>
      <c r="P75" s="96">
        <f t="shared" si="23"/>
        <v>18.666666666666668</v>
      </c>
      <c r="Q75" s="97">
        <f t="shared" si="19"/>
        <v>18.666666666666668</v>
      </c>
      <c r="R75" s="108"/>
      <c r="S75" s="215">
        <f>0</f>
        <v>0</v>
      </c>
      <c r="T75" s="215"/>
      <c r="U75" s="215"/>
      <c r="V75" s="215">
        <f>0</f>
        <v>0</v>
      </c>
      <c r="W75" s="215">
        <f>0</f>
        <v>0</v>
      </c>
      <c r="X75" s="215">
        <f>0</f>
        <v>0</v>
      </c>
      <c r="Y75" s="215">
        <f t="shared" si="29"/>
        <v>56</v>
      </c>
      <c r="Z75" s="120"/>
      <c r="AA75" s="96">
        <f t="shared" si="30"/>
        <v>56</v>
      </c>
      <c r="AB75" s="97">
        <f t="shared" si="31"/>
        <v>18.666666666666668</v>
      </c>
      <c r="AC75" s="263"/>
      <c r="AD75" s="263"/>
      <c r="AE75" s="50">
        <f>8+24</f>
        <v>32</v>
      </c>
      <c r="AF75" s="50">
        <f>0</f>
        <v>0</v>
      </c>
      <c r="AG75" s="50">
        <f>0+1</f>
        <v>1</v>
      </c>
      <c r="AH75" s="50">
        <f>AV75</f>
        <v>23</v>
      </c>
      <c r="AI75" s="120"/>
      <c r="AJ75" s="96">
        <f t="shared" si="32"/>
        <v>56</v>
      </c>
      <c r="AK75" s="97">
        <f t="shared" si="33"/>
        <v>56</v>
      </c>
      <c r="AL75" s="22"/>
      <c r="AM75" s="41"/>
      <c r="AN75" s="41"/>
      <c r="AO75" s="41"/>
      <c r="AP75" s="41"/>
      <c r="AQ75" s="41">
        <f>21</f>
        <v>21</v>
      </c>
      <c r="AR75" s="41">
        <f>0+2</f>
        <v>2</v>
      </c>
      <c r="AT75" s="95"/>
      <c r="AU75" s="96">
        <f>SUM(AM75:AS75)</f>
        <v>23</v>
      </c>
      <c r="AV75" s="97">
        <f>IF(C75=2015, AU75/3,AU75)+AT75</f>
        <v>23</v>
      </c>
    </row>
    <row r="76" spans="1:67" x14ac:dyDescent="0.25">
      <c r="A76" s="11" t="s">
        <v>796</v>
      </c>
      <c r="B76" s="60" t="s">
        <v>583</v>
      </c>
      <c r="C76" s="62">
        <v>2011</v>
      </c>
      <c r="D76" s="1">
        <f t="shared" si="22"/>
        <v>6</v>
      </c>
      <c r="E76" s="287"/>
      <c r="F76" s="287"/>
      <c r="N76" s="267">
        <f t="shared" si="18"/>
        <v>6</v>
      </c>
      <c r="P76" s="96">
        <f t="shared" si="23"/>
        <v>6</v>
      </c>
      <c r="Q76" s="97">
        <f t="shared" si="19"/>
        <v>6</v>
      </c>
      <c r="S76" s="201"/>
      <c r="T76" s="192"/>
      <c r="U76" s="183"/>
      <c r="V76" s="168"/>
      <c r="W76" s="50"/>
      <c r="X76" s="50">
        <f>3</f>
        <v>3</v>
      </c>
      <c r="Y76" s="215">
        <f t="shared" si="29"/>
        <v>3</v>
      </c>
      <c r="Z76" s="120"/>
      <c r="AA76" s="96">
        <f t="shared" si="30"/>
        <v>6</v>
      </c>
      <c r="AB76" s="97">
        <f t="shared" si="31"/>
        <v>6</v>
      </c>
      <c r="AC76" s="287"/>
      <c r="AD76" s="287"/>
      <c r="AE76" s="50"/>
      <c r="AF76" s="50"/>
      <c r="AG76" s="50">
        <f>0</f>
        <v>0</v>
      </c>
      <c r="AH76" s="50"/>
      <c r="AI76" s="120">
        <f>3</f>
        <v>3</v>
      </c>
      <c r="AJ76" s="96">
        <f t="shared" si="32"/>
        <v>0</v>
      </c>
      <c r="AK76" s="97">
        <f t="shared" si="33"/>
        <v>3</v>
      </c>
      <c r="AL76" s="22"/>
      <c r="AM76" s="41"/>
      <c r="AN76" s="41"/>
      <c r="AO76" s="41"/>
      <c r="AP76" s="41"/>
      <c r="AQ76" s="41"/>
      <c r="AR76" s="41"/>
      <c r="AT76" s="95"/>
      <c r="AU76" s="96"/>
      <c r="AV76" s="97"/>
    </row>
    <row r="77" spans="1:67" x14ac:dyDescent="0.25">
      <c r="A77" s="11" t="s">
        <v>723</v>
      </c>
      <c r="B77" s="60" t="s">
        <v>0</v>
      </c>
      <c r="C77" s="62">
        <v>2012</v>
      </c>
      <c r="D77" s="1">
        <f t="shared" si="22"/>
        <v>183.66666666666666</v>
      </c>
      <c r="E77" s="154">
        <f>36</f>
        <v>36</v>
      </c>
      <c r="F77" s="154"/>
      <c r="H77" s="290"/>
      <c r="I77" s="108">
        <f>50</f>
        <v>50</v>
      </c>
      <c r="J77" s="108">
        <f>22</f>
        <v>22</v>
      </c>
      <c r="K77" s="108">
        <f>24</f>
        <v>24</v>
      </c>
      <c r="L77" s="108">
        <f>4</f>
        <v>4</v>
      </c>
      <c r="M77" s="108"/>
      <c r="N77" s="267">
        <f t="shared" si="18"/>
        <v>47.666666666666664</v>
      </c>
      <c r="P77" s="96">
        <f t="shared" si="23"/>
        <v>147.66666666666666</v>
      </c>
      <c r="Q77" s="97">
        <f t="shared" si="19"/>
        <v>147.66666666666666</v>
      </c>
      <c r="R77" s="108"/>
      <c r="S77" s="201">
        <f>38</f>
        <v>38</v>
      </c>
      <c r="T77" s="192">
        <f>22</f>
        <v>22</v>
      </c>
      <c r="U77" s="183">
        <f>18</f>
        <v>18</v>
      </c>
      <c r="V77" s="168">
        <f>23+1</f>
        <v>24</v>
      </c>
      <c r="W77" s="50">
        <f>35+3+3</f>
        <v>41</v>
      </c>
      <c r="X77" s="50">
        <f>0</f>
        <v>0</v>
      </c>
      <c r="Y77" s="215">
        <f t="shared" si="29"/>
        <v>0</v>
      </c>
      <c r="Z77" s="152"/>
      <c r="AA77" s="96">
        <f t="shared" si="30"/>
        <v>143</v>
      </c>
      <c r="AB77" s="97">
        <f t="shared" si="31"/>
        <v>47.666666666666664</v>
      </c>
      <c r="AC77" s="290"/>
      <c r="AD77" s="290"/>
      <c r="AE77" s="50"/>
      <c r="AF77" s="50"/>
      <c r="AG77" s="50"/>
      <c r="AH77" s="50"/>
      <c r="AI77" s="120"/>
      <c r="AJ77" s="96">
        <f t="shared" si="32"/>
        <v>0</v>
      </c>
      <c r="AK77" s="97">
        <f t="shared" si="33"/>
        <v>0</v>
      </c>
      <c r="AL77" s="22"/>
      <c r="AM77" s="151"/>
      <c r="AN77" s="151"/>
      <c r="AO77" s="151"/>
      <c r="AP77" s="151"/>
      <c r="AQ77" s="151"/>
      <c r="AR77" s="151"/>
      <c r="AT77" s="95"/>
      <c r="AU77" s="96">
        <f>SUM(AM77:AS77)</f>
        <v>0</v>
      </c>
      <c r="AV77" s="97">
        <f>IF(C77=2015, AU77/3,AU77)+AT77</f>
        <v>0</v>
      </c>
    </row>
    <row r="78" spans="1:67" x14ac:dyDescent="0.25">
      <c r="A78" s="77" t="s">
        <v>653</v>
      </c>
      <c r="B78" s="87" t="s">
        <v>64</v>
      </c>
      <c r="D78" s="1">
        <f t="shared" si="22"/>
        <v>0</v>
      </c>
      <c r="E78" s="287"/>
      <c r="F78" s="287"/>
      <c r="H78" s="290"/>
      <c r="I78" s="287"/>
      <c r="J78" s="287"/>
      <c r="K78" s="287"/>
      <c r="L78" s="287"/>
      <c r="M78" s="287"/>
      <c r="N78" s="267">
        <f t="shared" si="18"/>
        <v>0</v>
      </c>
      <c r="P78" s="96">
        <f t="shared" si="23"/>
        <v>0</v>
      </c>
      <c r="Q78" s="97">
        <f t="shared" si="19"/>
        <v>0</v>
      </c>
      <c r="R78" s="287"/>
      <c r="S78" s="201"/>
      <c r="T78" s="192"/>
      <c r="U78" s="183"/>
      <c r="V78" s="168"/>
      <c r="W78" s="50"/>
      <c r="X78" s="50"/>
      <c r="Y78" s="215">
        <f t="shared" si="29"/>
        <v>0</v>
      </c>
      <c r="Z78" s="120"/>
      <c r="AA78" s="96">
        <f t="shared" si="30"/>
        <v>0</v>
      </c>
      <c r="AB78" s="97">
        <f t="shared" si="31"/>
        <v>0</v>
      </c>
      <c r="AC78" s="22"/>
      <c r="AD78" s="267"/>
      <c r="AE78" s="50"/>
      <c r="AF78" s="50">
        <f>0</f>
        <v>0</v>
      </c>
      <c r="AG78" s="50"/>
      <c r="AH78" s="50"/>
      <c r="AI78" s="120"/>
      <c r="AJ78" s="96">
        <f t="shared" si="32"/>
        <v>0</v>
      </c>
      <c r="AK78" s="97">
        <f t="shared" si="33"/>
        <v>0</v>
      </c>
      <c r="AL78" s="22"/>
      <c r="AT78" s="95"/>
      <c r="AU78" s="96"/>
      <c r="AV78" s="97"/>
    </row>
    <row r="79" spans="1:67" x14ac:dyDescent="0.25">
      <c r="A79" s="11" t="s">
        <v>337</v>
      </c>
      <c r="B79" s="60" t="s">
        <v>7</v>
      </c>
      <c r="C79" s="62">
        <v>2012</v>
      </c>
      <c r="D79" s="1">
        <f t="shared" si="22"/>
        <v>4.666666666666667</v>
      </c>
      <c r="E79" s="154"/>
      <c r="F79" s="154"/>
      <c r="H79" s="290"/>
      <c r="N79" s="267">
        <f t="shared" si="18"/>
        <v>4.666666666666667</v>
      </c>
      <c r="P79" s="96">
        <f t="shared" si="23"/>
        <v>4.666666666666667</v>
      </c>
      <c r="Q79" s="97">
        <f t="shared" si="19"/>
        <v>4.666666666666667</v>
      </c>
      <c r="S79" s="201"/>
      <c r="T79" s="192"/>
      <c r="U79" s="183"/>
      <c r="V79" s="168"/>
      <c r="W79" s="50"/>
      <c r="X79" s="50"/>
      <c r="Y79" s="215">
        <f t="shared" si="29"/>
        <v>14</v>
      </c>
      <c r="Z79" s="120"/>
      <c r="AA79" s="96">
        <f t="shared" si="30"/>
        <v>14</v>
      </c>
      <c r="AB79" s="97">
        <f t="shared" si="31"/>
        <v>4.666666666666667</v>
      </c>
      <c r="AC79" s="257"/>
      <c r="AD79" s="257"/>
      <c r="AE79" s="50"/>
      <c r="AF79" s="50"/>
      <c r="AG79" s="50">
        <f>0+3+1</f>
        <v>4</v>
      </c>
      <c r="AH79" s="50">
        <f>AV79</f>
        <v>10</v>
      </c>
      <c r="AI79" s="120"/>
      <c r="AJ79" s="96">
        <f t="shared" si="32"/>
        <v>14</v>
      </c>
      <c r="AK79" s="97">
        <f t="shared" si="33"/>
        <v>14</v>
      </c>
      <c r="AL79" s="22"/>
      <c r="AM79" s="41"/>
      <c r="AN79" s="41"/>
      <c r="AO79" s="41"/>
      <c r="AP79" s="41">
        <f>0</f>
        <v>0</v>
      </c>
      <c r="AQ79" s="41">
        <f>10</f>
        <v>10</v>
      </c>
      <c r="AR79" s="41"/>
      <c r="AT79" s="95"/>
      <c r="AU79" s="96">
        <f>SUM(AM79:AS79)</f>
        <v>10</v>
      </c>
      <c r="AV79" s="97">
        <f>IF(C79=2015, AU79/3,AU79)+AT79</f>
        <v>10</v>
      </c>
    </row>
    <row r="80" spans="1:67" x14ac:dyDescent="0.25">
      <c r="A80" s="11" t="s">
        <v>1103</v>
      </c>
      <c r="B80" s="60" t="s">
        <v>476</v>
      </c>
      <c r="C80" s="62">
        <v>2013</v>
      </c>
      <c r="D80" s="1">
        <f t="shared" ref="D80:D111" si="34">Q80+E80</f>
        <v>5</v>
      </c>
      <c r="L80" s="228">
        <f>15</f>
        <v>15</v>
      </c>
      <c r="N80" s="267">
        <f t="shared" si="18"/>
        <v>0</v>
      </c>
      <c r="P80" s="96">
        <f t="shared" ref="P80:P111" si="35">I80+J80+K80+L80+N80</f>
        <v>15</v>
      </c>
      <c r="Q80" s="97">
        <f t="shared" si="19"/>
        <v>5</v>
      </c>
      <c r="S80" s="201"/>
      <c r="T80" s="192"/>
      <c r="U80" s="183"/>
      <c r="V80" s="168"/>
      <c r="W80" s="50"/>
      <c r="X80" s="50"/>
      <c r="Y80" s="215"/>
      <c r="Z80" s="152"/>
      <c r="AA80" s="96"/>
      <c r="AB80" s="97"/>
      <c r="AC80" s="290"/>
      <c r="AD80" s="290"/>
      <c r="AE80" s="50"/>
      <c r="AF80" s="50"/>
      <c r="AG80" s="50"/>
      <c r="AH80" s="50"/>
      <c r="AI80" s="120"/>
      <c r="AJ80" s="96"/>
      <c r="AK80" s="97"/>
      <c r="AL80" s="22"/>
      <c r="AM80" s="151"/>
      <c r="AN80" s="151"/>
      <c r="AO80" s="151"/>
      <c r="AP80" s="151"/>
      <c r="AQ80" s="151"/>
      <c r="AR80" s="151"/>
      <c r="AT80" s="95"/>
      <c r="AU80" s="96"/>
      <c r="AV80" s="97"/>
    </row>
    <row r="81" spans="1:67" x14ac:dyDescent="0.25">
      <c r="A81" s="11" t="s">
        <v>819</v>
      </c>
      <c r="B81" s="60" t="s">
        <v>583</v>
      </c>
      <c r="C81" s="62">
        <v>2013</v>
      </c>
      <c r="D81" s="1">
        <f t="shared" si="34"/>
        <v>1</v>
      </c>
      <c r="H81" s="280"/>
      <c r="I81" s="287"/>
      <c r="J81" s="287"/>
      <c r="K81" s="287"/>
      <c r="L81" s="287"/>
      <c r="M81" s="287"/>
      <c r="N81" s="267">
        <f t="shared" si="18"/>
        <v>3</v>
      </c>
      <c r="P81" s="96">
        <f t="shared" si="35"/>
        <v>3</v>
      </c>
      <c r="Q81" s="97">
        <f t="shared" si="19"/>
        <v>1</v>
      </c>
      <c r="R81" s="287"/>
      <c r="S81" s="231"/>
      <c r="T81" s="231"/>
      <c r="U81" s="231"/>
      <c r="V81" s="231"/>
      <c r="W81" s="231"/>
      <c r="X81" s="231">
        <f>3</f>
        <v>3</v>
      </c>
      <c r="Y81" s="215">
        <f>AK81</f>
        <v>0</v>
      </c>
      <c r="Z81" s="152"/>
      <c r="AA81" s="96">
        <f>AM81+S81+T81+U81+V81+W81+X81+Y81</f>
        <v>3</v>
      </c>
      <c r="AB81" s="97">
        <f>IF(C81=2017, AA81/3,AA81)+Z81</f>
        <v>3</v>
      </c>
      <c r="AC81" s="269"/>
      <c r="AD81" s="269"/>
      <c r="AE81" s="231"/>
      <c r="AF81" s="231"/>
      <c r="AG81" s="231"/>
      <c r="AH81" s="231"/>
      <c r="AI81" s="120"/>
      <c r="AJ81" s="96">
        <f>SUM(AE81:AH81)</f>
        <v>0</v>
      </c>
      <c r="AK81" s="97">
        <f>IF(C81=2016, AJ81/3,AJ81)+AI81</f>
        <v>0</v>
      </c>
      <c r="AL81" s="22"/>
      <c r="AM81" s="151"/>
      <c r="AN81" s="151"/>
      <c r="AO81" s="151"/>
      <c r="AP81" s="151"/>
      <c r="AQ81" s="151"/>
      <c r="AR81" s="151"/>
      <c r="AT81" s="95"/>
      <c r="AU81" s="96"/>
      <c r="AV81" s="97"/>
    </row>
    <row r="82" spans="1:67" ht="14.25" customHeight="1" x14ac:dyDescent="0.25">
      <c r="A82" s="60" t="s">
        <v>970</v>
      </c>
      <c r="B82" s="11" t="s">
        <v>63</v>
      </c>
      <c r="C82" s="62"/>
      <c r="D82" s="1">
        <f t="shared" si="34"/>
        <v>13</v>
      </c>
      <c r="E82" s="287"/>
      <c r="F82" s="287"/>
      <c r="K82" s="241">
        <f>13</f>
        <v>13</v>
      </c>
      <c r="N82" s="267">
        <f t="shared" si="18"/>
        <v>0</v>
      </c>
      <c r="P82" s="96">
        <f t="shared" si="35"/>
        <v>13</v>
      </c>
      <c r="Q82" s="97">
        <f t="shared" si="19"/>
        <v>13</v>
      </c>
      <c r="S82" s="201"/>
      <c r="T82" s="192"/>
      <c r="U82" s="183"/>
      <c r="V82" s="168"/>
      <c r="W82" s="50"/>
      <c r="X82" s="50"/>
      <c r="Y82" s="215"/>
      <c r="Z82" s="120"/>
      <c r="AA82" s="96"/>
      <c r="AB82" s="97"/>
      <c r="AC82" s="22"/>
      <c r="AD82" s="287"/>
      <c r="AE82" s="50"/>
      <c r="AF82" s="50"/>
      <c r="AG82" s="50"/>
      <c r="AH82" s="50"/>
      <c r="AI82" s="120"/>
      <c r="AJ82" s="96"/>
      <c r="AK82" s="97"/>
      <c r="AL82" s="22"/>
      <c r="AT82" s="95"/>
      <c r="AU82" s="96"/>
      <c r="AV82" s="9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</row>
    <row r="83" spans="1:67" x14ac:dyDescent="0.25">
      <c r="A83" s="77" t="s">
        <v>646</v>
      </c>
      <c r="B83" s="87" t="s">
        <v>476</v>
      </c>
      <c r="D83" s="1">
        <f t="shared" si="34"/>
        <v>0</v>
      </c>
      <c r="H83" s="290"/>
      <c r="I83" s="287"/>
      <c r="J83" s="287"/>
      <c r="K83" s="287"/>
      <c r="L83" s="287"/>
      <c r="M83" s="287"/>
      <c r="N83" s="267">
        <f t="shared" si="18"/>
        <v>0</v>
      </c>
      <c r="P83" s="96">
        <f t="shared" si="35"/>
        <v>0</v>
      </c>
      <c r="Q83" s="97">
        <f t="shared" si="19"/>
        <v>0</v>
      </c>
      <c r="R83" s="287"/>
      <c r="S83" s="267"/>
      <c r="T83" s="267"/>
      <c r="U83" s="267"/>
      <c r="V83" s="267"/>
      <c r="W83" s="267"/>
      <c r="X83" s="267"/>
      <c r="Y83" s="215">
        <f t="shared" ref="Y83:Y98" si="36">AK83</f>
        <v>0</v>
      </c>
      <c r="Z83" s="120"/>
      <c r="AA83" s="96">
        <f>S83+T83+U83+V83+W83+X83+Y83</f>
        <v>0</v>
      </c>
      <c r="AB83" s="97">
        <f>IF(C83=2012, AA83/3,AA83)+Z83</f>
        <v>0</v>
      </c>
      <c r="AC83" s="22"/>
      <c r="AD83" s="287"/>
      <c r="AE83" s="256"/>
      <c r="AF83" s="256">
        <f>0</f>
        <v>0</v>
      </c>
      <c r="AG83" s="256"/>
      <c r="AH83" s="256"/>
      <c r="AI83" s="120"/>
      <c r="AJ83" s="96">
        <f>SUM(AD83:AH83)</f>
        <v>0</v>
      </c>
      <c r="AK83" s="97">
        <f>IF(C83=2011, AJ83/3,AJ83)+AI83</f>
        <v>0</v>
      </c>
      <c r="AL83" s="22"/>
      <c r="AT83" s="95"/>
      <c r="AU83" s="96"/>
      <c r="AV83" s="97"/>
    </row>
    <row r="84" spans="1:67" x14ac:dyDescent="0.25">
      <c r="A84" s="11" t="s">
        <v>687</v>
      </c>
      <c r="B84" s="60" t="s">
        <v>7</v>
      </c>
      <c r="C84" s="62">
        <v>2013</v>
      </c>
      <c r="D84" s="1">
        <f t="shared" si="34"/>
        <v>13</v>
      </c>
      <c r="E84" s="154"/>
      <c r="F84" s="154"/>
      <c r="H84" s="290"/>
      <c r="I84" s="267"/>
      <c r="J84" s="267"/>
      <c r="K84" s="267"/>
      <c r="L84" s="267"/>
      <c r="M84" s="267"/>
      <c r="N84" s="267">
        <f t="shared" si="18"/>
        <v>39</v>
      </c>
      <c r="P84" s="96">
        <f t="shared" si="35"/>
        <v>39</v>
      </c>
      <c r="Q84" s="97">
        <f t="shared" si="19"/>
        <v>13</v>
      </c>
      <c r="R84" s="267"/>
      <c r="S84" s="267"/>
      <c r="T84" s="267"/>
      <c r="U84" s="267"/>
      <c r="V84" s="267"/>
      <c r="W84" s="267">
        <f>22</f>
        <v>22</v>
      </c>
      <c r="X84" s="267">
        <f>0</f>
        <v>0</v>
      </c>
      <c r="Y84" s="215">
        <f t="shared" si="36"/>
        <v>17</v>
      </c>
      <c r="Z84" s="152"/>
      <c r="AA84" s="96">
        <f>AM84+S84+T84+U84+V84+W84+X84+Y84</f>
        <v>39</v>
      </c>
      <c r="AB84" s="97">
        <f>IF(C84=2017, AA84/3,AA84)+Z84</f>
        <v>39</v>
      </c>
      <c r="AC84" s="290"/>
      <c r="AD84" s="290"/>
      <c r="AE84" s="256">
        <f>17</f>
        <v>17</v>
      </c>
      <c r="AF84" s="256"/>
      <c r="AG84" s="256"/>
      <c r="AH84" s="256"/>
      <c r="AI84" s="120"/>
      <c r="AJ84" s="96">
        <f>SUM(AE84:AH84)</f>
        <v>17</v>
      </c>
      <c r="AK84" s="97">
        <f>IF(C84=2016, AJ84/3,AJ84)+AI84</f>
        <v>17</v>
      </c>
      <c r="AL84" s="22"/>
      <c r="AM84" s="151"/>
      <c r="AN84" s="151"/>
      <c r="AO84" s="151"/>
      <c r="AP84" s="151"/>
      <c r="AQ84" s="151"/>
      <c r="AR84" s="151"/>
      <c r="AT84" s="95"/>
      <c r="AU84" s="96">
        <f>SUM(AM84:AS84)</f>
        <v>0</v>
      </c>
      <c r="AV84" s="97">
        <f>IF(C84=2015, AU84/3,AU84)+AT84</f>
        <v>0</v>
      </c>
    </row>
    <row r="85" spans="1:67" x14ac:dyDescent="0.25">
      <c r="A85" s="11" t="s">
        <v>546</v>
      </c>
      <c r="B85" s="60" t="s">
        <v>547</v>
      </c>
      <c r="C85" s="62">
        <v>2013</v>
      </c>
      <c r="D85" s="1">
        <f t="shared" si="34"/>
        <v>101.66666666666667</v>
      </c>
      <c r="E85" s="287"/>
      <c r="F85" s="287"/>
      <c r="H85" s="290"/>
      <c r="J85" s="261"/>
      <c r="K85" s="261"/>
      <c r="L85" s="261"/>
      <c r="M85" s="261"/>
      <c r="N85" s="267">
        <f t="shared" si="18"/>
        <v>305</v>
      </c>
      <c r="P85" s="96">
        <f t="shared" si="35"/>
        <v>305</v>
      </c>
      <c r="Q85" s="97">
        <f t="shared" si="19"/>
        <v>101.66666666666667</v>
      </c>
      <c r="R85" s="261"/>
      <c r="S85" s="261"/>
      <c r="T85" s="261"/>
      <c r="U85" s="261"/>
      <c r="V85" s="261"/>
      <c r="W85" s="261">
        <f>90+18+6</f>
        <v>114</v>
      </c>
      <c r="X85" s="261">
        <f>38+4</f>
        <v>42</v>
      </c>
      <c r="Y85" s="215">
        <f t="shared" si="36"/>
        <v>149</v>
      </c>
      <c r="Z85" s="152"/>
      <c r="AA85" s="96">
        <f>AM85+S85+T85+U85+V85+W85+X85+Y85</f>
        <v>305</v>
      </c>
      <c r="AB85" s="97">
        <f>IF(C85=2017, AA85/3,AA85)+Z85</f>
        <v>305</v>
      </c>
      <c r="AC85" s="290"/>
      <c r="AD85" s="290"/>
      <c r="AE85" s="261">
        <f>38+33</f>
        <v>71</v>
      </c>
      <c r="AF85" s="261"/>
      <c r="AG85" s="261">
        <f>36+42</f>
        <v>78</v>
      </c>
      <c r="AH85" s="261"/>
      <c r="AI85" s="120"/>
      <c r="AJ85" s="96">
        <f>SUM(AE85:AH85)</f>
        <v>149</v>
      </c>
      <c r="AK85" s="97">
        <f>IF(C85=2016, AJ85/3,AJ85)+AI85</f>
        <v>149</v>
      </c>
      <c r="AL85" s="22"/>
      <c r="AM85" s="151"/>
      <c r="AN85" s="151"/>
      <c r="AO85" s="151"/>
      <c r="AP85" s="151"/>
      <c r="AQ85" s="151"/>
      <c r="AR85" s="151"/>
      <c r="AT85" s="95"/>
      <c r="AU85" s="96">
        <f>SUM(AM85:AS85)</f>
        <v>0</v>
      </c>
      <c r="AV85" s="97">
        <f>IF(C85=2015, AU85/3,AU85)+AT85</f>
        <v>0</v>
      </c>
    </row>
    <row r="86" spans="1:67" x14ac:dyDescent="0.25">
      <c r="A86" s="11" t="s">
        <v>893</v>
      </c>
      <c r="B86" s="60" t="s">
        <v>404</v>
      </c>
      <c r="C86" s="62">
        <v>2012</v>
      </c>
      <c r="D86" s="1">
        <f t="shared" si="34"/>
        <v>24.333333333333332</v>
      </c>
      <c r="E86" s="154"/>
      <c r="F86" s="154"/>
      <c r="H86" s="280"/>
      <c r="I86" s="267"/>
      <c r="J86" s="267">
        <f>8</f>
        <v>8</v>
      </c>
      <c r="K86" s="267"/>
      <c r="L86" s="267"/>
      <c r="M86" s="267"/>
      <c r="N86" s="267">
        <f t="shared" si="18"/>
        <v>16.333333333333332</v>
      </c>
      <c r="P86" s="96">
        <f t="shared" si="35"/>
        <v>24.333333333333332</v>
      </c>
      <c r="Q86" s="97">
        <f t="shared" si="19"/>
        <v>24.333333333333332</v>
      </c>
      <c r="R86" s="267"/>
      <c r="S86" s="267">
        <f>10</f>
        <v>10</v>
      </c>
      <c r="T86" s="267">
        <f>9+16</f>
        <v>25</v>
      </c>
      <c r="U86" s="267"/>
      <c r="V86" s="267">
        <f>0+14</f>
        <v>14</v>
      </c>
      <c r="W86" s="267"/>
      <c r="X86" s="267"/>
      <c r="Y86" s="215">
        <f t="shared" si="36"/>
        <v>0</v>
      </c>
      <c r="Z86" s="152"/>
      <c r="AA86" s="96">
        <f t="shared" ref="AA86:AA91" si="37">S86+T86+U86+V86+W86+X86+Y86</f>
        <v>49</v>
      </c>
      <c r="AB86" s="97">
        <f t="shared" ref="AB86:AB91" si="38">IF(C86=2012, AA86/3,AA86)+Z86</f>
        <v>16.333333333333332</v>
      </c>
      <c r="AC86" s="290"/>
      <c r="AD86" s="290"/>
      <c r="AE86" s="231"/>
      <c r="AF86" s="231"/>
      <c r="AG86" s="231"/>
      <c r="AH86" s="231"/>
      <c r="AI86" s="120"/>
      <c r="AJ86" s="96">
        <f t="shared" ref="AJ86:AJ91" si="39">SUM(AD86:AH86)</f>
        <v>0</v>
      </c>
      <c r="AK86" s="97">
        <f t="shared" ref="AK86:AK91" si="40">IF(C86=2011, AJ86/3,AJ86)+AI86</f>
        <v>0</v>
      </c>
      <c r="AL86" s="22"/>
      <c r="AM86" s="151"/>
      <c r="AN86" s="151"/>
      <c r="AO86" s="151"/>
      <c r="AP86" s="151"/>
      <c r="AQ86" s="151"/>
      <c r="AR86" s="151"/>
      <c r="AT86" s="95"/>
      <c r="AU86" s="96"/>
      <c r="AV86" s="97"/>
    </row>
    <row r="87" spans="1:67" x14ac:dyDescent="0.25">
      <c r="A87" s="11" t="s">
        <v>237</v>
      </c>
      <c r="B87" s="60" t="s">
        <v>0</v>
      </c>
      <c r="C87" s="3">
        <v>2011</v>
      </c>
      <c r="D87" s="1">
        <f t="shared" si="34"/>
        <v>184</v>
      </c>
      <c r="E87" s="154"/>
      <c r="F87" s="154"/>
      <c r="J87" s="246">
        <f>6</f>
        <v>6</v>
      </c>
      <c r="K87" s="241">
        <f>16</f>
        <v>16</v>
      </c>
      <c r="L87" s="228">
        <f>0+2</f>
        <v>2</v>
      </c>
      <c r="N87" s="267">
        <f t="shared" si="18"/>
        <v>160</v>
      </c>
      <c r="P87" s="96">
        <f t="shared" si="35"/>
        <v>184</v>
      </c>
      <c r="Q87" s="97">
        <f t="shared" si="19"/>
        <v>184</v>
      </c>
      <c r="S87" s="201"/>
      <c r="T87" s="192"/>
      <c r="U87" s="183"/>
      <c r="V87" s="168"/>
      <c r="W87" s="50"/>
      <c r="X87" s="50"/>
      <c r="Y87" s="215">
        <f t="shared" si="36"/>
        <v>160</v>
      </c>
      <c r="Z87" s="120"/>
      <c r="AA87" s="96">
        <f t="shared" si="37"/>
        <v>160</v>
      </c>
      <c r="AB87" s="97">
        <f t="shared" si="38"/>
        <v>160</v>
      </c>
      <c r="AC87" s="287"/>
      <c r="AD87" s="287">
        <f>9</f>
        <v>9</v>
      </c>
      <c r="AE87" s="50">
        <f>30+30</f>
        <v>60</v>
      </c>
      <c r="AF87" s="50">
        <f>90</f>
        <v>90</v>
      </c>
      <c r="AG87" s="50">
        <f>24+21+3</f>
        <v>48</v>
      </c>
      <c r="AH87" s="50">
        <f>AV87</f>
        <v>273</v>
      </c>
      <c r="AI87" s="120"/>
      <c r="AJ87" s="96">
        <f t="shared" si="39"/>
        <v>480</v>
      </c>
      <c r="AK87" s="97">
        <f t="shared" si="40"/>
        <v>160</v>
      </c>
      <c r="AL87" s="22"/>
      <c r="AM87" s="41"/>
      <c r="AN87" s="41"/>
      <c r="AO87" s="41">
        <f>60+9</f>
        <v>69</v>
      </c>
      <c r="AP87" s="41">
        <f>57+12</f>
        <v>69</v>
      </c>
      <c r="AQ87" s="41">
        <f>6+27</f>
        <v>33</v>
      </c>
      <c r="AR87" s="41">
        <f>18+15+3</f>
        <v>36</v>
      </c>
      <c r="AS87" s="13">
        <f>66</f>
        <v>66</v>
      </c>
      <c r="AT87" s="95"/>
      <c r="AU87" s="96">
        <f>SUM(AM87:AS87)</f>
        <v>273</v>
      </c>
      <c r="AV87" s="97">
        <f>IF(C87=2015, AU87/3,AU87)+AT87</f>
        <v>273</v>
      </c>
    </row>
    <row r="88" spans="1:67" x14ac:dyDescent="0.25">
      <c r="A88" s="77" t="s">
        <v>667</v>
      </c>
      <c r="B88" s="87" t="s">
        <v>476</v>
      </c>
      <c r="D88" s="1">
        <f t="shared" si="34"/>
        <v>4</v>
      </c>
      <c r="E88" s="108"/>
      <c r="F88" s="108"/>
      <c r="H88" s="101"/>
      <c r="I88" s="154"/>
      <c r="J88" s="154"/>
      <c r="K88" s="154"/>
      <c r="L88" s="154"/>
      <c r="M88" s="154"/>
      <c r="N88" s="267">
        <f t="shared" si="18"/>
        <v>4</v>
      </c>
      <c r="P88" s="96">
        <f t="shared" si="35"/>
        <v>4</v>
      </c>
      <c r="Q88" s="97">
        <f t="shared" si="19"/>
        <v>4</v>
      </c>
      <c r="R88" s="154"/>
      <c r="S88" s="267"/>
      <c r="T88" s="267"/>
      <c r="U88" s="267"/>
      <c r="V88" s="267"/>
      <c r="W88" s="267"/>
      <c r="X88" s="267"/>
      <c r="Y88" s="215">
        <f t="shared" si="36"/>
        <v>4</v>
      </c>
      <c r="Z88" s="120"/>
      <c r="AA88" s="96">
        <f t="shared" si="37"/>
        <v>4</v>
      </c>
      <c r="AB88" s="97">
        <f t="shared" si="38"/>
        <v>4</v>
      </c>
      <c r="AC88" s="22"/>
      <c r="AD88" s="287"/>
      <c r="AE88" s="215"/>
      <c r="AF88" s="215">
        <f>4</f>
        <v>4</v>
      </c>
      <c r="AG88" s="215"/>
      <c r="AH88" s="215"/>
      <c r="AI88" s="120"/>
      <c r="AJ88" s="96">
        <f t="shared" si="39"/>
        <v>4</v>
      </c>
      <c r="AK88" s="97">
        <f t="shared" si="40"/>
        <v>4</v>
      </c>
      <c r="AL88" s="22"/>
      <c r="AT88" s="95"/>
      <c r="AU88" s="96"/>
      <c r="AV88" s="97"/>
    </row>
    <row r="89" spans="1:67" x14ac:dyDescent="0.25">
      <c r="A89" s="11" t="s">
        <v>717</v>
      </c>
      <c r="B89" s="60" t="s">
        <v>0</v>
      </c>
      <c r="C89" s="62">
        <v>2012</v>
      </c>
      <c r="D89" s="1">
        <f t="shared" si="34"/>
        <v>135.33333333333331</v>
      </c>
      <c r="I89" s="287"/>
      <c r="J89" s="287">
        <f>0+10</f>
        <v>10</v>
      </c>
      <c r="K89" s="287">
        <f>28+12</f>
        <v>40</v>
      </c>
      <c r="L89" s="287">
        <f>10</f>
        <v>10</v>
      </c>
      <c r="M89" s="287"/>
      <c r="N89" s="267">
        <f t="shared" si="18"/>
        <v>75.333333333333329</v>
      </c>
      <c r="P89" s="96">
        <f t="shared" si="35"/>
        <v>135.33333333333331</v>
      </c>
      <c r="Q89" s="97">
        <f t="shared" si="19"/>
        <v>135.33333333333331</v>
      </c>
      <c r="R89" s="287"/>
      <c r="S89" s="256">
        <f>30+12</f>
        <v>42</v>
      </c>
      <c r="T89" s="256">
        <f>74</f>
        <v>74</v>
      </c>
      <c r="U89" s="256">
        <f>6+6+4+4</f>
        <v>20</v>
      </c>
      <c r="V89" s="256">
        <f>23+7+1</f>
        <v>31</v>
      </c>
      <c r="W89" s="256">
        <f>26+5+3</f>
        <v>34</v>
      </c>
      <c r="X89" s="256">
        <f>23+2</f>
        <v>25</v>
      </c>
      <c r="Y89" s="215">
        <f t="shared" si="36"/>
        <v>0</v>
      </c>
      <c r="Z89" s="152"/>
      <c r="AA89" s="96">
        <f t="shared" si="37"/>
        <v>226</v>
      </c>
      <c r="AB89" s="97">
        <f t="shared" si="38"/>
        <v>75.333333333333329</v>
      </c>
      <c r="AC89" s="257"/>
      <c r="AD89" s="257"/>
      <c r="AE89" s="215"/>
      <c r="AF89" s="215"/>
      <c r="AG89" s="215"/>
      <c r="AH89" s="215"/>
      <c r="AI89" s="120"/>
      <c r="AJ89" s="96">
        <f t="shared" si="39"/>
        <v>0</v>
      </c>
      <c r="AK89" s="97">
        <f t="shared" si="40"/>
        <v>0</v>
      </c>
      <c r="AL89" s="22"/>
      <c r="AM89" s="151"/>
      <c r="AN89" s="151"/>
      <c r="AO89" s="151"/>
      <c r="AP89" s="151"/>
      <c r="AQ89" s="151"/>
      <c r="AR89" s="151"/>
      <c r="AT89" s="95"/>
      <c r="AU89" s="96">
        <f>SUM(AM89:AS89)</f>
        <v>0</v>
      </c>
      <c r="AV89" s="97">
        <f>IF(C89=2015, AU89/3,AU89)+AT89</f>
        <v>0</v>
      </c>
    </row>
    <row r="90" spans="1:67" x14ac:dyDescent="0.25">
      <c r="A90" s="11" t="s">
        <v>327</v>
      </c>
      <c r="B90" s="60" t="s">
        <v>0</v>
      </c>
      <c r="C90" s="3">
        <v>2011</v>
      </c>
      <c r="D90" s="1">
        <f t="shared" si="34"/>
        <v>101.33333333333333</v>
      </c>
      <c r="E90" s="287"/>
      <c r="F90" s="287"/>
      <c r="J90" s="261"/>
      <c r="K90" s="261"/>
      <c r="L90" s="261"/>
      <c r="M90" s="261"/>
      <c r="N90" s="267">
        <f t="shared" si="18"/>
        <v>101.33333333333333</v>
      </c>
      <c r="P90" s="96">
        <f t="shared" si="35"/>
        <v>101.33333333333333</v>
      </c>
      <c r="Q90" s="97">
        <f t="shared" si="19"/>
        <v>101.33333333333333</v>
      </c>
      <c r="R90" s="261"/>
      <c r="S90" s="261"/>
      <c r="T90" s="261"/>
      <c r="U90" s="261"/>
      <c r="V90" s="261"/>
      <c r="W90" s="261"/>
      <c r="X90" s="261"/>
      <c r="Y90" s="215">
        <f t="shared" si="36"/>
        <v>101.33333333333333</v>
      </c>
      <c r="Z90" s="120"/>
      <c r="AA90" s="96">
        <f t="shared" si="37"/>
        <v>101.33333333333333</v>
      </c>
      <c r="AB90" s="97">
        <f t="shared" si="38"/>
        <v>101.33333333333333</v>
      </c>
      <c r="AC90" s="287"/>
      <c r="AD90" s="287">
        <f>9</f>
        <v>9</v>
      </c>
      <c r="AE90" s="201">
        <f>0+30</f>
        <v>30</v>
      </c>
      <c r="AF90" s="201">
        <f>12</f>
        <v>12</v>
      </c>
      <c r="AG90" s="201">
        <f>0+21+3</f>
        <v>24</v>
      </c>
      <c r="AH90" s="201">
        <f>AV90</f>
        <v>229</v>
      </c>
      <c r="AI90" s="120"/>
      <c r="AJ90" s="96">
        <f t="shared" si="39"/>
        <v>304</v>
      </c>
      <c r="AK90" s="97">
        <f t="shared" si="40"/>
        <v>101.33333333333333</v>
      </c>
      <c r="AL90" s="22"/>
      <c r="AM90" s="41"/>
      <c r="AN90" s="41"/>
      <c r="AO90" s="41"/>
      <c r="AP90" s="41">
        <f>57</f>
        <v>57</v>
      </c>
      <c r="AQ90" s="41">
        <f>2+27</f>
        <v>29</v>
      </c>
      <c r="AR90" s="41">
        <f>20+15+3</f>
        <v>38</v>
      </c>
      <c r="AS90" s="13">
        <v>105</v>
      </c>
      <c r="AT90" s="95"/>
      <c r="AU90" s="96">
        <f>SUM(AM90:AS90)</f>
        <v>229</v>
      </c>
      <c r="AV90" s="97">
        <f>IF(C90=2015, AU90/3,AU90)+AT90</f>
        <v>229</v>
      </c>
    </row>
    <row r="91" spans="1:67" x14ac:dyDescent="0.25">
      <c r="A91" s="11" t="s">
        <v>333</v>
      </c>
      <c r="B91" s="60" t="s">
        <v>0</v>
      </c>
      <c r="C91" s="3">
        <v>2012</v>
      </c>
      <c r="D91" s="1">
        <f t="shared" si="34"/>
        <v>261</v>
      </c>
      <c r="E91" s="287"/>
      <c r="F91" s="287"/>
      <c r="H91" s="290"/>
      <c r="I91" s="154"/>
      <c r="J91" s="154"/>
      <c r="K91" s="154"/>
      <c r="L91" s="154"/>
      <c r="M91" s="154"/>
      <c r="N91" s="267">
        <f t="shared" si="18"/>
        <v>261</v>
      </c>
      <c r="P91" s="96">
        <f t="shared" si="35"/>
        <v>261</v>
      </c>
      <c r="Q91" s="97">
        <f t="shared" si="19"/>
        <v>261</v>
      </c>
      <c r="R91" s="154"/>
      <c r="S91" s="256"/>
      <c r="T91" s="256">
        <f>0</f>
        <v>0</v>
      </c>
      <c r="U91" s="256">
        <f>0+6+3</f>
        <v>9</v>
      </c>
      <c r="V91" s="256">
        <f>0+3+9</f>
        <v>12</v>
      </c>
      <c r="W91" s="256">
        <f>27+15+9</f>
        <v>51</v>
      </c>
      <c r="X91" s="256">
        <f>6+3+6</f>
        <v>15</v>
      </c>
      <c r="Y91" s="215">
        <f t="shared" si="36"/>
        <v>696</v>
      </c>
      <c r="Z91" s="120"/>
      <c r="AA91" s="96">
        <f t="shared" si="37"/>
        <v>783</v>
      </c>
      <c r="AB91" s="97">
        <f t="shared" si="38"/>
        <v>261</v>
      </c>
      <c r="AC91" s="290"/>
      <c r="AD91" s="290"/>
      <c r="AE91" s="50">
        <f>15+42</f>
        <v>57</v>
      </c>
      <c r="AF91" s="50">
        <f>90+39</f>
        <v>129</v>
      </c>
      <c r="AG91" s="50">
        <f>39+51+3+3</f>
        <v>96</v>
      </c>
      <c r="AH91" s="50">
        <f>AV91</f>
        <v>414</v>
      </c>
      <c r="AI91" s="120"/>
      <c r="AJ91" s="96">
        <f t="shared" si="39"/>
        <v>696</v>
      </c>
      <c r="AK91" s="97">
        <f t="shared" si="40"/>
        <v>696</v>
      </c>
      <c r="AL91" s="22"/>
      <c r="AM91" s="287"/>
      <c r="AN91" s="287"/>
      <c r="AO91" s="287"/>
      <c r="AP91" s="287">
        <f>27+21</f>
        <v>48</v>
      </c>
      <c r="AQ91" s="287">
        <f>3+36</f>
        <v>39</v>
      </c>
      <c r="AR91" s="287">
        <f>24+63+3+3</f>
        <v>93</v>
      </c>
      <c r="AS91" s="287">
        <f>234</f>
        <v>234</v>
      </c>
      <c r="AT91" s="95"/>
      <c r="AU91" s="96">
        <f>SUM(AM91:AS91)</f>
        <v>414</v>
      </c>
      <c r="AV91" s="97">
        <f>IF(C91=2015, AU91/3,AU91)+AT91</f>
        <v>414</v>
      </c>
    </row>
    <row r="92" spans="1:67" x14ac:dyDescent="0.25">
      <c r="A92" s="11" t="s">
        <v>477</v>
      </c>
      <c r="B92" s="60" t="s">
        <v>7</v>
      </c>
      <c r="C92" s="62">
        <v>2013</v>
      </c>
      <c r="D92" s="1">
        <f t="shared" si="34"/>
        <v>0</v>
      </c>
      <c r="E92" s="154"/>
      <c r="F92" s="154"/>
      <c r="H92" s="280"/>
      <c r="I92" s="267"/>
      <c r="J92" s="267"/>
      <c r="K92" s="267"/>
      <c r="L92" s="267"/>
      <c r="M92" s="267"/>
      <c r="N92" s="267">
        <f t="shared" si="18"/>
        <v>0</v>
      </c>
      <c r="P92" s="96">
        <f t="shared" si="35"/>
        <v>0</v>
      </c>
      <c r="Q92" s="97">
        <f t="shared" si="19"/>
        <v>0</v>
      </c>
      <c r="R92" s="267"/>
      <c r="S92" s="267"/>
      <c r="T92" s="267"/>
      <c r="U92" s="267"/>
      <c r="V92" s="267"/>
      <c r="W92" s="267"/>
      <c r="X92" s="267"/>
      <c r="Y92" s="215">
        <f t="shared" si="36"/>
        <v>0</v>
      </c>
      <c r="Z92" s="120"/>
      <c r="AA92" s="96">
        <f>AM92+S92+T92+U92+V92+W92+X92+Y92</f>
        <v>0</v>
      </c>
      <c r="AB92" s="97">
        <f>IF(C92=2017, AA92/3,AA92)+Z92</f>
        <v>0</v>
      </c>
      <c r="AC92" s="263"/>
      <c r="AD92" s="263"/>
      <c r="AE92" s="261"/>
      <c r="AF92" s="261"/>
      <c r="AG92" s="261">
        <f>0</f>
        <v>0</v>
      </c>
      <c r="AH92" s="261">
        <f>AV92</f>
        <v>0</v>
      </c>
      <c r="AI92" s="120"/>
      <c r="AJ92" s="96">
        <f>SUM(AE92:AH92)</f>
        <v>0</v>
      </c>
      <c r="AK92" s="97">
        <f>IF(C92=2016, AJ92/3,AJ92)+AI92</f>
        <v>0</v>
      </c>
      <c r="AL92" s="22"/>
      <c r="AM92" s="41"/>
      <c r="AN92" s="41"/>
      <c r="AO92" s="41"/>
      <c r="AP92" s="41"/>
      <c r="AQ92" s="41"/>
      <c r="AR92" s="41">
        <f>0</f>
        <v>0</v>
      </c>
      <c r="AT92" s="95"/>
      <c r="AU92" s="96">
        <f>SUM(AM92:AS92)</f>
        <v>0</v>
      </c>
      <c r="AV92" s="97">
        <f>IF(C92=2015, AU92/3,AU92)+AT92</f>
        <v>0</v>
      </c>
    </row>
    <row r="93" spans="1:67" x14ac:dyDescent="0.25">
      <c r="A93" s="11" t="s">
        <v>121</v>
      </c>
      <c r="B93" s="60" t="s">
        <v>86</v>
      </c>
      <c r="C93" s="62">
        <v>2012</v>
      </c>
      <c r="D93" s="1">
        <f t="shared" si="34"/>
        <v>23</v>
      </c>
      <c r="E93" s="287"/>
      <c r="F93" s="287"/>
      <c r="I93" s="154"/>
      <c r="J93" s="154"/>
      <c r="K93" s="154"/>
      <c r="L93" s="154"/>
      <c r="M93" s="154"/>
      <c r="N93" s="267">
        <f t="shared" si="18"/>
        <v>23</v>
      </c>
      <c r="P93" s="96">
        <f t="shared" si="35"/>
        <v>23</v>
      </c>
      <c r="Q93" s="97">
        <f t="shared" si="19"/>
        <v>23</v>
      </c>
      <c r="R93" s="154"/>
      <c r="S93" s="261"/>
      <c r="T93" s="261"/>
      <c r="U93" s="261"/>
      <c r="V93" s="261"/>
      <c r="W93" s="261"/>
      <c r="X93" s="261"/>
      <c r="Y93" s="215">
        <f t="shared" si="36"/>
        <v>69</v>
      </c>
      <c r="Z93" s="120"/>
      <c r="AA93" s="96">
        <f>S93+T93+U93+V93+W93+X93+Y93</f>
        <v>69</v>
      </c>
      <c r="AB93" s="97">
        <f>IF(C93=2012, AA93/3,AA93)+Z93</f>
        <v>23</v>
      </c>
      <c r="AC93" s="257"/>
      <c r="AD93" s="257"/>
      <c r="AE93" s="256"/>
      <c r="AF93" s="256"/>
      <c r="AG93" s="256"/>
      <c r="AH93" s="256">
        <f>AV93</f>
        <v>69</v>
      </c>
      <c r="AI93" s="120"/>
      <c r="AJ93" s="96">
        <f>SUM(AD93:AH93)</f>
        <v>69</v>
      </c>
      <c r="AK93" s="97">
        <f>IF(C93=2011, AJ93/3,AJ93)+AI93</f>
        <v>69</v>
      </c>
      <c r="AL93" s="22"/>
      <c r="AM93" s="41"/>
      <c r="AN93" s="67">
        <f>27+6</f>
        <v>33</v>
      </c>
      <c r="AO93" s="41"/>
      <c r="AP93" s="41">
        <f>28+8</f>
        <v>36</v>
      </c>
      <c r="AQ93" s="41"/>
      <c r="AR93" s="41"/>
      <c r="AT93" s="95"/>
      <c r="AU93" s="96">
        <f>SUM(AM93:AS93)</f>
        <v>69</v>
      </c>
      <c r="AV93" s="97">
        <f>IF(C93=2015, AU93/3,AU93)+AT93</f>
        <v>69</v>
      </c>
    </row>
    <row r="94" spans="1:67" x14ac:dyDescent="0.25">
      <c r="A94" s="60" t="s">
        <v>909</v>
      </c>
      <c r="B94" s="60" t="s">
        <v>697</v>
      </c>
      <c r="C94" s="62">
        <v>2010</v>
      </c>
      <c r="D94" s="1">
        <f t="shared" si="34"/>
        <v>11</v>
      </c>
      <c r="E94" s="154"/>
      <c r="F94" s="154"/>
      <c r="I94" s="287"/>
      <c r="J94" s="287"/>
      <c r="K94" s="287">
        <f>8</f>
        <v>8</v>
      </c>
      <c r="L94" s="287"/>
      <c r="M94" s="287"/>
      <c r="N94" s="267">
        <f t="shared" si="18"/>
        <v>3</v>
      </c>
      <c r="P94" s="96">
        <f t="shared" si="35"/>
        <v>11</v>
      </c>
      <c r="Q94" s="97">
        <f t="shared" si="19"/>
        <v>11</v>
      </c>
      <c r="R94" s="287"/>
      <c r="S94" s="261"/>
      <c r="T94" s="261"/>
      <c r="U94" s="261"/>
      <c r="V94" s="261">
        <f>0+3</f>
        <v>3</v>
      </c>
      <c r="W94" s="261"/>
      <c r="X94" s="261"/>
      <c r="Y94" s="215">
        <f t="shared" si="36"/>
        <v>0</v>
      </c>
      <c r="Z94" s="120"/>
      <c r="AA94" s="96">
        <f>S94+T94+U94+V94+W94+X94+Y94</f>
        <v>3</v>
      </c>
      <c r="AB94" s="97">
        <f>IF(C94=2012, AA94/3,AA94)+Z94</f>
        <v>3</v>
      </c>
      <c r="AC94" s="22"/>
      <c r="AD94" s="267"/>
      <c r="AE94" s="256"/>
      <c r="AF94" s="256"/>
      <c r="AG94" s="256"/>
      <c r="AH94" s="256"/>
      <c r="AI94" s="120"/>
      <c r="AJ94" s="96">
        <f>SUM(AD94:AH94)</f>
        <v>0</v>
      </c>
      <c r="AK94" s="97">
        <f>IF(C94=2011, AJ94/3,AJ94)+AI94</f>
        <v>0</v>
      </c>
      <c r="AL94" s="22"/>
      <c r="AT94" s="95"/>
      <c r="AU94" s="96"/>
      <c r="AV94" s="9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</row>
    <row r="95" spans="1:67" x14ac:dyDescent="0.25">
      <c r="A95" s="11" t="s">
        <v>338</v>
      </c>
      <c r="B95" s="60" t="s">
        <v>7</v>
      </c>
      <c r="C95" s="62">
        <v>2011</v>
      </c>
      <c r="D95" s="1">
        <f t="shared" si="34"/>
        <v>11.666666666666666</v>
      </c>
      <c r="E95" s="108"/>
      <c r="F95" s="108"/>
      <c r="H95" s="101"/>
      <c r="J95" s="261"/>
      <c r="K95" s="261"/>
      <c r="L95" s="261"/>
      <c r="M95" s="261"/>
      <c r="N95" s="267">
        <f t="shared" si="18"/>
        <v>11.666666666666666</v>
      </c>
      <c r="P95" s="96">
        <f t="shared" si="35"/>
        <v>11.666666666666666</v>
      </c>
      <c r="Q95" s="97">
        <f t="shared" si="19"/>
        <v>11.666666666666666</v>
      </c>
      <c r="R95" s="261"/>
      <c r="S95" s="261"/>
      <c r="T95" s="261"/>
      <c r="U95" s="261"/>
      <c r="V95" s="261"/>
      <c r="W95" s="261"/>
      <c r="X95" s="261"/>
      <c r="Y95" s="215">
        <f t="shared" si="36"/>
        <v>11.666666666666666</v>
      </c>
      <c r="Z95" s="120"/>
      <c r="AA95" s="96">
        <f>S95+T95+U95+V95+W95+X95+Y95</f>
        <v>11.666666666666666</v>
      </c>
      <c r="AB95" s="97">
        <f>IF(C95=2012, AA95/3,AA95)+Z95</f>
        <v>11.666666666666666</v>
      </c>
      <c r="AC95" s="287"/>
      <c r="AD95" s="287"/>
      <c r="AE95" s="261">
        <f>8</f>
        <v>8</v>
      </c>
      <c r="AF95" s="261"/>
      <c r="AG95" s="261">
        <f>0+3+1</f>
        <v>4</v>
      </c>
      <c r="AH95" s="261">
        <f>AV95</f>
        <v>23</v>
      </c>
      <c r="AI95" s="120"/>
      <c r="AJ95" s="96">
        <f>SUM(AD95:AH95)</f>
        <v>35</v>
      </c>
      <c r="AK95" s="97">
        <f>IF(C95=2011, AJ95/3,AJ95)+AI95</f>
        <v>11.666666666666666</v>
      </c>
      <c r="AL95" s="22"/>
      <c r="AM95" s="41"/>
      <c r="AN95" s="67"/>
      <c r="AO95" s="41"/>
      <c r="AP95" s="41">
        <f>0</f>
        <v>0</v>
      </c>
      <c r="AQ95" s="41">
        <f>21</f>
        <v>21</v>
      </c>
      <c r="AR95" s="41">
        <f>0+2</f>
        <v>2</v>
      </c>
      <c r="AT95" s="95"/>
      <c r="AU95" s="96">
        <f>SUM(AM95:AS95)</f>
        <v>23</v>
      </c>
      <c r="AV95" s="97">
        <f>IF(C95=2015, AU95/3,AU95)+AT95</f>
        <v>23</v>
      </c>
    </row>
    <row r="96" spans="1:67" x14ac:dyDescent="0.25">
      <c r="A96" s="77" t="s">
        <v>780</v>
      </c>
      <c r="B96" s="87" t="s">
        <v>629</v>
      </c>
      <c r="C96" s="3">
        <v>2011</v>
      </c>
      <c r="D96" s="1">
        <f t="shared" si="34"/>
        <v>33</v>
      </c>
      <c r="E96" s="154"/>
      <c r="F96" s="154"/>
      <c r="H96" s="280"/>
      <c r="J96" s="256"/>
      <c r="K96" s="256"/>
      <c r="L96" s="256"/>
      <c r="M96" s="256"/>
      <c r="N96" s="267">
        <f t="shared" si="18"/>
        <v>33</v>
      </c>
      <c r="P96" s="96">
        <f t="shared" si="35"/>
        <v>33</v>
      </c>
      <c r="Q96" s="97">
        <f t="shared" si="19"/>
        <v>33</v>
      </c>
      <c r="R96" s="256"/>
      <c r="S96" s="256"/>
      <c r="T96" s="256"/>
      <c r="U96" s="256"/>
      <c r="V96" s="256"/>
      <c r="W96" s="256">
        <f>14+3</f>
        <v>17</v>
      </c>
      <c r="X96" s="256">
        <f>14+2</f>
        <v>16</v>
      </c>
      <c r="Y96" s="215">
        <f t="shared" si="36"/>
        <v>0</v>
      </c>
      <c r="Z96" s="120"/>
      <c r="AA96" s="96">
        <f>S96+T96+U96+V96+W96+X96+Y96</f>
        <v>33</v>
      </c>
      <c r="AB96" s="97">
        <f>IF(C96=2012, AA96/3,AA96)+Z96</f>
        <v>33</v>
      </c>
      <c r="AC96" s="22"/>
      <c r="AD96" s="267"/>
      <c r="AE96" s="256"/>
      <c r="AF96" s="256"/>
      <c r="AG96" s="256"/>
      <c r="AH96" s="256"/>
      <c r="AI96" s="120"/>
      <c r="AJ96" s="96">
        <f>SUM(AD96:AH96)</f>
        <v>0</v>
      </c>
      <c r="AK96" s="97"/>
      <c r="AL96" s="22"/>
      <c r="AT96" s="95"/>
      <c r="AU96" s="96"/>
      <c r="AV96" s="97"/>
    </row>
    <row r="97" spans="1:67" x14ac:dyDescent="0.25">
      <c r="A97" s="71" t="s">
        <v>252</v>
      </c>
      <c r="B97" s="71" t="s">
        <v>231</v>
      </c>
      <c r="C97" s="72">
        <v>2013</v>
      </c>
      <c r="D97" s="1">
        <f t="shared" si="34"/>
        <v>0</v>
      </c>
      <c r="E97" s="154"/>
      <c r="F97" s="154"/>
      <c r="I97" s="287"/>
      <c r="J97" s="287"/>
      <c r="K97" s="287"/>
      <c r="L97" s="287"/>
      <c r="M97" s="287"/>
      <c r="N97" s="267">
        <f t="shared" si="18"/>
        <v>0</v>
      </c>
      <c r="P97" s="96">
        <f t="shared" si="35"/>
        <v>0</v>
      </c>
      <c r="Q97" s="97">
        <f t="shared" si="19"/>
        <v>0</v>
      </c>
      <c r="R97" s="287"/>
      <c r="S97" s="261"/>
      <c r="T97" s="261"/>
      <c r="U97" s="261"/>
      <c r="V97" s="261"/>
      <c r="W97" s="261"/>
      <c r="X97" s="261"/>
      <c r="Y97" s="215">
        <f t="shared" si="36"/>
        <v>0</v>
      </c>
      <c r="Z97" s="120"/>
      <c r="AA97" s="96">
        <f>AM97+S97+T97+U97+V97+W97+X97+Y97</f>
        <v>0</v>
      </c>
      <c r="AB97" s="97">
        <f>IF(C97=2017, AA97/3,AA97)+Z97</f>
        <v>0</v>
      </c>
      <c r="AC97" s="263"/>
      <c r="AD97" s="263"/>
      <c r="AE97" s="261"/>
      <c r="AF97" s="261"/>
      <c r="AG97" s="261"/>
      <c r="AH97" s="261">
        <f>AV97</f>
        <v>0</v>
      </c>
      <c r="AI97" s="120"/>
      <c r="AJ97" s="96">
        <f>SUM(AE97:AH97)</f>
        <v>0</v>
      </c>
      <c r="AK97" s="97">
        <f>IF(C97=2016, AJ97/3,AJ97)+AI97</f>
        <v>0</v>
      </c>
      <c r="AL97" s="22"/>
      <c r="AM97" s="287"/>
      <c r="AN97" s="287"/>
      <c r="AO97" s="287">
        <f>0</f>
        <v>0</v>
      </c>
      <c r="AP97" s="287"/>
      <c r="AQ97" s="287"/>
      <c r="AR97" s="287"/>
      <c r="AS97" s="285"/>
      <c r="AT97" s="95"/>
      <c r="AU97" s="96">
        <f>SUM(AM97:AS97)</f>
        <v>0</v>
      </c>
      <c r="AV97" s="97">
        <f>IF(C97=2015, AU97/3,AU97)+AT97</f>
        <v>0</v>
      </c>
    </row>
    <row r="98" spans="1:67" x14ac:dyDescent="0.25">
      <c r="A98" s="11" t="s">
        <v>1028</v>
      </c>
      <c r="B98" s="60" t="s">
        <v>86</v>
      </c>
      <c r="C98" s="62">
        <v>2012</v>
      </c>
      <c r="D98" s="1">
        <f t="shared" si="34"/>
        <v>0</v>
      </c>
      <c r="E98" s="287"/>
      <c r="F98" s="287"/>
      <c r="H98" s="290"/>
      <c r="I98" s="287"/>
      <c r="J98" s="287"/>
      <c r="K98" s="287"/>
      <c r="L98" s="287"/>
      <c r="M98" s="287"/>
      <c r="N98" s="267">
        <f t="shared" si="18"/>
        <v>0</v>
      </c>
      <c r="P98" s="96">
        <f t="shared" si="35"/>
        <v>0</v>
      </c>
      <c r="Q98" s="97">
        <f t="shared" si="19"/>
        <v>0</v>
      </c>
      <c r="R98" s="287"/>
      <c r="S98" s="215">
        <f>0</f>
        <v>0</v>
      </c>
      <c r="T98" s="215"/>
      <c r="U98" s="215"/>
      <c r="V98" s="215"/>
      <c r="W98" s="215"/>
      <c r="X98" s="215"/>
      <c r="Y98" s="215">
        <f t="shared" si="36"/>
        <v>0</v>
      </c>
      <c r="Z98" s="152"/>
      <c r="AA98" s="96">
        <f>S98+T98+U98+V98+W98+X98+Y98</f>
        <v>0</v>
      </c>
      <c r="AB98" s="97">
        <f>IF(C98=2012, AA98/3,AA98)+Z98</f>
        <v>0</v>
      </c>
      <c r="AC98" s="290"/>
      <c r="AD98" s="290"/>
      <c r="AE98" s="215"/>
      <c r="AF98" s="215"/>
      <c r="AG98" s="215"/>
      <c r="AH98" s="215"/>
      <c r="AI98" s="120"/>
      <c r="AJ98" s="96">
        <f>SUM(AD98:AH98)</f>
        <v>0</v>
      </c>
      <c r="AK98" s="97">
        <f>IF(C98=2011, AJ98/3,AJ98)+AI98</f>
        <v>0</v>
      </c>
      <c r="AL98" s="22"/>
      <c r="AM98" s="151"/>
      <c r="AN98" s="151"/>
      <c r="AO98" s="151"/>
      <c r="AP98" s="151"/>
      <c r="AQ98" s="151"/>
      <c r="AR98" s="151"/>
      <c r="AT98" s="95"/>
      <c r="AU98" s="96"/>
      <c r="AV98" s="97"/>
    </row>
    <row r="99" spans="1:67" x14ac:dyDescent="0.25">
      <c r="A99" s="11" t="s">
        <v>1242</v>
      </c>
      <c r="B99" s="60" t="s">
        <v>7</v>
      </c>
      <c r="C99" s="62"/>
      <c r="D99" s="1">
        <f t="shared" si="34"/>
        <v>2</v>
      </c>
      <c r="J99" s="256"/>
      <c r="K99" s="256">
        <f>2</f>
        <v>2</v>
      </c>
      <c r="L99" s="256"/>
      <c r="M99" s="256"/>
      <c r="N99" s="267">
        <f t="shared" si="18"/>
        <v>0</v>
      </c>
      <c r="P99" s="96">
        <f t="shared" si="35"/>
        <v>2</v>
      </c>
      <c r="Q99" s="97">
        <f t="shared" si="19"/>
        <v>2</v>
      </c>
      <c r="R99" s="256"/>
      <c r="S99" s="256"/>
      <c r="T99" s="256"/>
      <c r="U99" s="256"/>
      <c r="V99" s="256"/>
      <c r="W99" s="256"/>
      <c r="X99" s="256"/>
      <c r="Y99" s="215"/>
      <c r="Z99" s="152"/>
      <c r="AA99" s="96"/>
      <c r="AB99" s="97"/>
      <c r="AC99" s="290"/>
      <c r="AD99" s="290"/>
      <c r="AE99" s="256"/>
      <c r="AF99" s="256"/>
      <c r="AG99" s="256"/>
      <c r="AH99" s="256"/>
      <c r="AI99" s="120"/>
      <c r="AJ99" s="96"/>
      <c r="AK99" s="97"/>
      <c r="AL99" s="22"/>
      <c r="AM99" s="151"/>
      <c r="AN99" s="151"/>
      <c r="AO99" s="151"/>
      <c r="AP99" s="151"/>
      <c r="AQ99" s="151"/>
      <c r="AR99" s="151"/>
      <c r="AT99" s="95"/>
      <c r="AU99" s="96"/>
      <c r="AV99" s="97"/>
    </row>
    <row r="100" spans="1:67" s="52" customFormat="1" x14ac:dyDescent="0.25">
      <c r="A100" s="11" t="s">
        <v>822</v>
      </c>
      <c r="B100" s="60" t="s">
        <v>64</v>
      </c>
      <c r="C100" s="62">
        <v>2012</v>
      </c>
      <c r="D100" s="1">
        <f t="shared" si="34"/>
        <v>10.666666666666666</v>
      </c>
      <c r="E100" s="283"/>
      <c r="F100" s="278"/>
      <c r="G100" s="120"/>
      <c r="H100" s="280"/>
      <c r="I100" s="154"/>
      <c r="J100" s="154"/>
      <c r="K100" s="154"/>
      <c r="L100" s="154"/>
      <c r="M100" s="154"/>
      <c r="N100" s="267">
        <f t="shared" si="18"/>
        <v>10.666666666666666</v>
      </c>
      <c r="O100" s="120"/>
      <c r="P100" s="96">
        <f t="shared" si="35"/>
        <v>10.666666666666666</v>
      </c>
      <c r="Q100" s="97">
        <f t="shared" si="19"/>
        <v>10.666666666666666</v>
      </c>
      <c r="R100" s="154"/>
      <c r="S100" s="215"/>
      <c r="T100" s="215"/>
      <c r="U100" s="215"/>
      <c r="V100" s="215"/>
      <c r="W100" s="215">
        <f>26</f>
        <v>26</v>
      </c>
      <c r="X100" s="215">
        <f>6</f>
        <v>6</v>
      </c>
      <c r="Y100" s="215">
        <f>AK100</f>
        <v>0</v>
      </c>
      <c r="Z100" s="152"/>
      <c r="AA100" s="96">
        <f>S100+T100+U100+V100+W100+X100+Y100</f>
        <v>32</v>
      </c>
      <c r="AB100" s="97">
        <f>IF(C100=2012, AA100/3,AA100)+Z100</f>
        <v>10.666666666666666</v>
      </c>
      <c r="AC100" s="290"/>
      <c r="AD100" s="290"/>
      <c r="AE100" s="215"/>
      <c r="AF100" s="215"/>
      <c r="AG100" s="215"/>
      <c r="AH100" s="215"/>
      <c r="AI100" s="120"/>
      <c r="AJ100" s="96">
        <f>SUM(AD100:AH100)</f>
        <v>0</v>
      </c>
      <c r="AK100" s="97">
        <f>IF(C100=2011, AJ100/3,AJ100)+AI100</f>
        <v>0</v>
      </c>
      <c r="AL100" s="22"/>
      <c r="AM100" s="151"/>
      <c r="AN100" s="151"/>
      <c r="AO100" s="151"/>
      <c r="AP100" s="151"/>
      <c r="AQ100" s="151"/>
      <c r="AR100" s="151"/>
      <c r="AS100" s="13"/>
      <c r="AT100" s="95"/>
      <c r="AU100" s="96"/>
      <c r="AV100" s="97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spans="1:67" x14ac:dyDescent="0.25">
      <c r="A101" s="11" t="s">
        <v>1168</v>
      </c>
      <c r="B101" s="87" t="s">
        <v>87</v>
      </c>
      <c r="C101" s="3">
        <v>2012</v>
      </c>
      <c r="D101" s="1">
        <f t="shared" si="34"/>
        <v>0</v>
      </c>
      <c r="E101" s="287"/>
      <c r="F101" s="287"/>
      <c r="J101" s="261"/>
      <c r="K101" s="261"/>
      <c r="L101" s="261">
        <f>0</f>
        <v>0</v>
      </c>
      <c r="M101" s="261"/>
      <c r="N101" s="267">
        <f t="shared" ref="N101:N164" si="41">AB101</f>
        <v>0</v>
      </c>
      <c r="P101" s="96">
        <f t="shared" si="35"/>
        <v>0</v>
      </c>
      <c r="Q101" s="97">
        <f t="shared" ref="Q101:Q164" si="42">IF(C101=2013, P101/3,P101)+O101</f>
        <v>0</v>
      </c>
      <c r="R101" s="261"/>
    </row>
    <row r="102" spans="1:67" x14ac:dyDescent="0.25">
      <c r="A102" s="11" t="s">
        <v>45</v>
      </c>
      <c r="B102" s="11" t="s">
        <v>36</v>
      </c>
      <c r="C102" s="3">
        <v>2012</v>
      </c>
      <c r="D102" s="1">
        <f t="shared" si="34"/>
        <v>69</v>
      </c>
      <c r="E102" s="250"/>
      <c r="F102" s="250"/>
      <c r="N102" s="267">
        <f t="shared" si="41"/>
        <v>69</v>
      </c>
      <c r="P102" s="96">
        <f t="shared" si="35"/>
        <v>69</v>
      </c>
      <c r="Q102" s="97">
        <f t="shared" si="42"/>
        <v>69</v>
      </c>
      <c r="S102" s="201"/>
      <c r="T102" s="192"/>
      <c r="U102" s="183"/>
      <c r="V102" s="168"/>
      <c r="W102" s="50"/>
      <c r="X102" s="50"/>
      <c r="Y102" s="215">
        <f t="shared" ref="Y102:Y123" si="43">AK102</f>
        <v>207</v>
      </c>
      <c r="Z102" s="120"/>
      <c r="AA102" s="96">
        <f>S102+T102+U102+V102+W102+X102+Y102</f>
        <v>207</v>
      </c>
      <c r="AB102" s="97">
        <f>IF(C102=2012, AA102/3,AA102)+Z102</f>
        <v>69</v>
      </c>
      <c r="AC102" s="290"/>
      <c r="AD102" s="290"/>
      <c r="AE102" s="50"/>
      <c r="AF102" s="50">
        <f>50</f>
        <v>50</v>
      </c>
      <c r="AG102" s="50">
        <f>40+21</f>
        <v>61</v>
      </c>
      <c r="AH102" s="50">
        <f>AV102</f>
        <v>96</v>
      </c>
      <c r="AI102" s="120"/>
      <c r="AJ102" s="96">
        <f>SUM(AD102:AH102)</f>
        <v>207</v>
      </c>
      <c r="AK102" s="97">
        <f>IF(C102=2011, AJ102/3,AJ102)+AI102</f>
        <v>207</v>
      </c>
      <c r="AL102" s="22"/>
      <c r="AM102" s="287">
        <v>0</v>
      </c>
      <c r="AN102" s="287"/>
      <c r="AO102" s="287"/>
      <c r="AP102" s="287">
        <f>44</f>
        <v>44</v>
      </c>
      <c r="AQ102" s="287"/>
      <c r="AR102" s="287">
        <f>37+15</f>
        <v>52</v>
      </c>
      <c r="AS102" s="285"/>
      <c r="AT102" s="95"/>
      <c r="AU102" s="96">
        <f>SUM(AM102:AS102)</f>
        <v>96</v>
      </c>
      <c r="AV102" s="97">
        <f>IF(C102=2015, AU102/3,AU102)+AT102</f>
        <v>96</v>
      </c>
    </row>
    <row r="103" spans="1:67" x14ac:dyDescent="0.25">
      <c r="A103" s="77" t="s">
        <v>812</v>
      </c>
      <c r="B103" s="87" t="s">
        <v>583</v>
      </c>
      <c r="C103" s="3">
        <v>2011</v>
      </c>
      <c r="D103" s="1">
        <f t="shared" si="34"/>
        <v>3</v>
      </c>
      <c r="E103" s="154"/>
      <c r="F103" s="154"/>
      <c r="I103" s="287"/>
      <c r="J103" s="287"/>
      <c r="K103" s="287"/>
      <c r="L103" s="287"/>
      <c r="M103" s="287"/>
      <c r="N103" s="267">
        <f t="shared" si="41"/>
        <v>3</v>
      </c>
      <c r="P103" s="96">
        <f t="shared" si="35"/>
        <v>3</v>
      </c>
      <c r="Q103" s="97">
        <f t="shared" si="42"/>
        <v>3</v>
      </c>
      <c r="R103" s="287"/>
      <c r="S103" s="287"/>
      <c r="T103" s="287"/>
      <c r="U103" s="287"/>
      <c r="V103" s="287"/>
      <c r="W103" s="287"/>
      <c r="X103" s="287">
        <f>3</f>
        <v>3</v>
      </c>
      <c r="Y103" s="215">
        <f t="shared" si="43"/>
        <v>0</v>
      </c>
      <c r="Z103" s="120"/>
      <c r="AA103" s="96">
        <f>S103+T103+U103+V103+W103+X103+Y103</f>
        <v>3</v>
      </c>
      <c r="AB103" s="97">
        <f>IF(C103=2012, AA103/3,AA103)+Z103</f>
        <v>3</v>
      </c>
      <c r="AC103" s="22"/>
      <c r="AD103" s="287"/>
      <c r="AE103" s="50"/>
      <c r="AF103" s="50"/>
      <c r="AG103" s="50"/>
      <c r="AH103" s="50"/>
      <c r="AI103" s="120"/>
      <c r="AJ103" s="96">
        <f>SUM(AD103:AH103)</f>
        <v>0</v>
      </c>
      <c r="AK103" s="97"/>
      <c r="AL103" s="22"/>
      <c r="AT103" s="95"/>
      <c r="AU103" s="96"/>
      <c r="AV103" s="97"/>
    </row>
    <row r="104" spans="1:67" x14ac:dyDescent="0.25">
      <c r="A104" s="11" t="s">
        <v>890</v>
      </c>
      <c r="B104" s="60" t="s">
        <v>404</v>
      </c>
      <c r="C104" s="62">
        <v>2012</v>
      </c>
      <c r="D104" s="1">
        <f t="shared" si="34"/>
        <v>0</v>
      </c>
      <c r="H104" s="290"/>
      <c r="N104" s="267">
        <f t="shared" si="41"/>
        <v>0</v>
      </c>
      <c r="P104" s="96">
        <f t="shared" si="35"/>
        <v>0</v>
      </c>
      <c r="Q104" s="97">
        <f t="shared" si="42"/>
        <v>0</v>
      </c>
      <c r="S104" s="201"/>
      <c r="T104" s="192"/>
      <c r="U104" s="183"/>
      <c r="V104" s="168">
        <f>0</f>
        <v>0</v>
      </c>
      <c r="W104" s="50"/>
      <c r="X104" s="50"/>
      <c r="Y104" s="215">
        <f t="shared" si="43"/>
        <v>0</v>
      </c>
      <c r="Z104" s="152"/>
      <c r="AA104" s="96">
        <f>S104+T104+U104+V104+W104+X104+Y104</f>
        <v>0</v>
      </c>
      <c r="AB104" s="97">
        <f>IF(C104=2012, AA104/3,AA104)+Z104</f>
        <v>0</v>
      </c>
      <c r="AC104" s="290"/>
      <c r="AD104" s="290"/>
      <c r="AE104" s="50"/>
      <c r="AF104" s="50"/>
      <c r="AG104" s="50"/>
      <c r="AH104" s="50"/>
      <c r="AI104" s="120"/>
      <c r="AJ104" s="96">
        <f>SUM(AD104:AH104)</f>
        <v>0</v>
      </c>
      <c r="AK104" s="97">
        <f>IF(C104=2011, AJ104/3,AJ104)+AI104</f>
        <v>0</v>
      </c>
      <c r="AL104" s="22"/>
      <c r="AM104" s="151"/>
      <c r="AN104" s="151"/>
      <c r="AO104" s="151"/>
      <c r="AP104" s="151"/>
      <c r="AQ104" s="151"/>
      <c r="AR104" s="151"/>
      <c r="AT104" s="95"/>
      <c r="AU104" s="96"/>
      <c r="AV104" s="97"/>
    </row>
    <row r="105" spans="1:67" x14ac:dyDescent="0.25">
      <c r="A105" s="11" t="s">
        <v>952</v>
      </c>
      <c r="B105" s="60" t="s">
        <v>63</v>
      </c>
      <c r="C105" s="62">
        <v>2012</v>
      </c>
      <c r="D105" s="1">
        <f t="shared" si="34"/>
        <v>0</v>
      </c>
      <c r="E105" s="154"/>
      <c r="F105" s="154"/>
      <c r="I105" s="287"/>
      <c r="J105" s="287"/>
      <c r="K105" s="287"/>
      <c r="L105" s="287"/>
      <c r="M105" s="287"/>
      <c r="N105" s="267">
        <f t="shared" si="41"/>
        <v>0</v>
      </c>
      <c r="P105" s="96">
        <f t="shared" si="35"/>
        <v>0</v>
      </c>
      <c r="Q105" s="97">
        <f t="shared" si="42"/>
        <v>0</v>
      </c>
      <c r="R105" s="287"/>
      <c r="S105" s="201">
        <f>0</f>
        <v>0</v>
      </c>
      <c r="T105" s="192">
        <f>0</f>
        <v>0</v>
      </c>
      <c r="U105" s="183"/>
      <c r="V105" s="168"/>
      <c r="W105" s="50"/>
      <c r="X105" s="50"/>
      <c r="Y105" s="215">
        <f t="shared" si="43"/>
        <v>0</v>
      </c>
      <c r="Z105" s="152"/>
      <c r="AA105" s="96">
        <f>S105+T105+U105+V105+W105+X105+Y105</f>
        <v>0</v>
      </c>
      <c r="AB105" s="97">
        <f>IF(C105=2012, AA105/3,AA105)+Z105</f>
        <v>0</v>
      </c>
      <c r="AC105" s="290"/>
      <c r="AD105" s="290"/>
      <c r="AE105" s="50"/>
      <c r="AF105" s="50"/>
      <c r="AG105" s="50"/>
      <c r="AH105" s="50"/>
      <c r="AI105" s="120"/>
      <c r="AJ105" s="96">
        <f>SUM(AD105:AH105)</f>
        <v>0</v>
      </c>
      <c r="AK105" s="97">
        <f>IF(C105=2011, AJ105/3,AJ105)+AI105</f>
        <v>0</v>
      </c>
      <c r="AL105" s="22"/>
      <c r="AM105" s="151"/>
      <c r="AN105" s="151"/>
      <c r="AO105" s="151"/>
      <c r="AP105" s="151"/>
      <c r="AQ105" s="151"/>
      <c r="AR105" s="151"/>
      <c r="AT105" s="95"/>
      <c r="AU105" s="96"/>
      <c r="AV105" s="97"/>
    </row>
    <row r="106" spans="1:67" x14ac:dyDescent="0.25">
      <c r="A106" s="11" t="s">
        <v>135</v>
      </c>
      <c r="B106" s="60" t="s">
        <v>86</v>
      </c>
      <c r="C106" s="62">
        <v>2011</v>
      </c>
      <c r="D106" s="1">
        <f t="shared" si="34"/>
        <v>4.333333333333333</v>
      </c>
      <c r="E106" s="287"/>
      <c r="F106" s="287"/>
      <c r="H106" s="280"/>
      <c r="I106" s="154"/>
      <c r="J106" s="154"/>
      <c r="K106" s="154"/>
      <c r="L106" s="154"/>
      <c r="M106" s="154"/>
      <c r="N106" s="267">
        <f t="shared" si="41"/>
        <v>4.333333333333333</v>
      </c>
      <c r="P106" s="96">
        <f t="shared" si="35"/>
        <v>4.333333333333333</v>
      </c>
      <c r="Q106" s="97">
        <f t="shared" si="42"/>
        <v>4.333333333333333</v>
      </c>
      <c r="R106" s="154"/>
      <c r="S106" s="287"/>
      <c r="T106" s="287"/>
      <c r="U106" s="287"/>
      <c r="V106" s="287"/>
      <c r="W106" s="287"/>
      <c r="X106" s="287"/>
      <c r="Y106" s="215">
        <f t="shared" si="43"/>
        <v>4.333333333333333</v>
      </c>
      <c r="Z106" s="120"/>
      <c r="AA106" s="96">
        <f>S106+T106+U106+V106+W106+X106+Y106</f>
        <v>4.333333333333333</v>
      </c>
      <c r="AB106" s="97">
        <f>IF(C106=2012, AA106/3,AA106)+Z106</f>
        <v>4.333333333333333</v>
      </c>
      <c r="AC106" s="287"/>
      <c r="AD106" s="287"/>
      <c r="AE106" s="50"/>
      <c r="AF106" s="50"/>
      <c r="AG106" s="50"/>
      <c r="AH106" s="50">
        <f>AV106</f>
        <v>13</v>
      </c>
      <c r="AI106" s="120"/>
      <c r="AJ106" s="96">
        <f>SUM(AD106:AH106)</f>
        <v>13</v>
      </c>
      <c r="AK106" s="97">
        <f>IF(C106=2011, AJ106/3,AJ106)+AI106</f>
        <v>4.333333333333333</v>
      </c>
      <c r="AL106" s="22"/>
      <c r="AM106" s="41"/>
      <c r="AN106" s="41">
        <f>8+2</f>
        <v>10</v>
      </c>
      <c r="AO106" s="41"/>
      <c r="AP106" s="41">
        <f>0+3</f>
        <v>3</v>
      </c>
      <c r="AQ106" s="41"/>
      <c r="AR106" s="41"/>
      <c r="AT106" s="95"/>
      <c r="AU106" s="96">
        <f>SUM(AM106:AS106)</f>
        <v>13</v>
      </c>
      <c r="AV106" s="97">
        <f>IF(C106=2015, AU106/3,AU106)+AT106</f>
        <v>13</v>
      </c>
    </row>
    <row r="107" spans="1:67" x14ac:dyDescent="0.25">
      <c r="A107" s="11" t="s">
        <v>132</v>
      </c>
      <c r="B107" s="60" t="s">
        <v>64</v>
      </c>
      <c r="C107" s="62">
        <v>2013</v>
      </c>
      <c r="D107" s="1">
        <f t="shared" si="34"/>
        <v>2.6666666666666665</v>
      </c>
      <c r="E107" s="154"/>
      <c r="F107" s="154"/>
      <c r="I107" s="287"/>
      <c r="J107" s="287"/>
      <c r="K107" s="287"/>
      <c r="L107" s="287"/>
      <c r="M107" s="287"/>
      <c r="N107" s="267">
        <f t="shared" si="41"/>
        <v>8</v>
      </c>
      <c r="P107" s="96">
        <f t="shared" si="35"/>
        <v>8</v>
      </c>
      <c r="Q107" s="97">
        <f t="shared" si="42"/>
        <v>2.6666666666666665</v>
      </c>
      <c r="R107" s="287"/>
      <c r="S107" s="201"/>
      <c r="T107" s="192"/>
      <c r="U107" s="183"/>
      <c r="V107" s="168"/>
      <c r="W107" s="50"/>
      <c r="X107" s="50"/>
      <c r="Y107" s="215">
        <f t="shared" si="43"/>
        <v>8</v>
      </c>
      <c r="Z107" s="120"/>
      <c r="AA107" s="96">
        <f>AM107+S107+T107+U107+V107+W107+X107+Y107</f>
        <v>8</v>
      </c>
      <c r="AB107" s="97">
        <f>IF(C107=2017, AA107/3,AA107)+Z107</f>
        <v>8</v>
      </c>
      <c r="AC107" s="290"/>
      <c r="AD107" s="290"/>
      <c r="AE107" s="50"/>
      <c r="AF107" s="50"/>
      <c r="AG107" s="50"/>
      <c r="AH107" s="50">
        <f>AV107</f>
        <v>8</v>
      </c>
      <c r="AI107" s="120"/>
      <c r="AJ107" s="96">
        <f>SUM(AE107:AH107)</f>
        <v>8</v>
      </c>
      <c r="AK107" s="97">
        <f>IF(C107=2016, AJ107/3,AJ107)+AI107</f>
        <v>8</v>
      </c>
      <c r="AL107" s="22"/>
      <c r="AM107" s="41"/>
      <c r="AN107" s="41">
        <v>8</v>
      </c>
      <c r="AO107" s="41">
        <f>0</f>
        <v>0</v>
      </c>
      <c r="AP107" s="41"/>
      <c r="AQ107" s="41"/>
      <c r="AR107" s="41"/>
      <c r="AT107" s="95"/>
      <c r="AU107" s="96">
        <f>SUM(AM107:AS107)</f>
        <v>8</v>
      </c>
      <c r="AV107" s="97">
        <f>IF(C107=2015, AU107/3,AU107)+AT107</f>
        <v>8</v>
      </c>
    </row>
    <row r="108" spans="1:67" x14ac:dyDescent="0.25">
      <c r="A108" s="77" t="s">
        <v>702</v>
      </c>
      <c r="B108" s="87" t="s">
        <v>701</v>
      </c>
      <c r="C108" s="3">
        <v>2010</v>
      </c>
      <c r="D108" s="1">
        <f t="shared" si="34"/>
        <v>3</v>
      </c>
      <c r="H108" s="290"/>
      <c r="I108" s="287"/>
      <c r="J108" s="287"/>
      <c r="K108" s="287"/>
      <c r="L108" s="287"/>
      <c r="M108" s="287"/>
      <c r="N108" s="267">
        <f t="shared" si="41"/>
        <v>3</v>
      </c>
      <c r="P108" s="96">
        <f t="shared" si="35"/>
        <v>3</v>
      </c>
      <c r="Q108" s="97">
        <f t="shared" si="42"/>
        <v>3</v>
      </c>
      <c r="R108" s="287"/>
      <c r="S108" s="287"/>
      <c r="T108" s="287"/>
      <c r="U108" s="287"/>
      <c r="V108" s="287"/>
      <c r="W108" s="287"/>
      <c r="X108" s="287"/>
      <c r="Y108" s="215">
        <f t="shared" si="43"/>
        <v>3</v>
      </c>
      <c r="Z108" s="120"/>
      <c r="AA108" s="96">
        <f>S108+T108+U108+V108+W108+X108+Y108</f>
        <v>3</v>
      </c>
      <c r="AB108" s="97">
        <f>IF(C108=2012, AA108/3,AA108)+Z108</f>
        <v>3</v>
      </c>
      <c r="AC108" s="22"/>
      <c r="AD108" s="287"/>
      <c r="AE108" s="50">
        <f>3</f>
        <v>3</v>
      </c>
      <c r="AF108" s="50"/>
      <c r="AG108" s="50"/>
      <c r="AH108" s="50"/>
      <c r="AI108" s="120"/>
      <c r="AJ108" s="96">
        <f>SUM(AD108:AH108)</f>
        <v>3</v>
      </c>
      <c r="AK108" s="97">
        <f>IF(C108=2011, AJ108/3,AJ108)+AI108</f>
        <v>3</v>
      </c>
      <c r="AL108" s="22"/>
      <c r="AT108" s="95"/>
      <c r="AU108" s="96"/>
      <c r="AV108" s="97"/>
    </row>
    <row r="109" spans="1:67" x14ac:dyDescent="0.25">
      <c r="A109" s="11" t="s">
        <v>316</v>
      </c>
      <c r="B109" s="60" t="s">
        <v>272</v>
      </c>
      <c r="C109" s="62">
        <v>2012</v>
      </c>
      <c r="D109" s="1">
        <f t="shared" si="34"/>
        <v>0</v>
      </c>
      <c r="E109" s="154"/>
      <c r="F109" s="154"/>
      <c r="I109" s="154"/>
      <c r="J109" s="154"/>
      <c r="K109" s="154"/>
      <c r="L109" s="154"/>
      <c r="M109" s="154"/>
      <c r="N109" s="267">
        <f t="shared" si="41"/>
        <v>0</v>
      </c>
      <c r="P109" s="96">
        <f t="shared" si="35"/>
        <v>0</v>
      </c>
      <c r="Q109" s="97">
        <f t="shared" si="42"/>
        <v>0</v>
      </c>
      <c r="R109" s="154"/>
      <c r="S109" s="201"/>
      <c r="T109" s="192"/>
      <c r="U109" s="183"/>
      <c r="V109" s="168"/>
      <c r="W109" s="50"/>
      <c r="X109" s="50"/>
      <c r="Y109" s="215">
        <f t="shared" si="43"/>
        <v>0</v>
      </c>
      <c r="Z109" s="120"/>
      <c r="AA109" s="96">
        <f>S109+T109+U109+V109+W109+X109+Y109</f>
        <v>0</v>
      </c>
      <c r="AB109" s="97">
        <f>IF(C109=2012, AA109/3,AA109)+Z109</f>
        <v>0</v>
      </c>
      <c r="AC109" s="290"/>
      <c r="AD109" s="290"/>
      <c r="AE109" s="50"/>
      <c r="AF109" s="50"/>
      <c r="AG109" s="50"/>
      <c r="AH109" s="50">
        <f>AV109</f>
        <v>0</v>
      </c>
      <c r="AI109" s="120"/>
      <c r="AJ109" s="96">
        <f>SUM(AD109:AH109)</f>
        <v>0</v>
      </c>
      <c r="AK109" s="97">
        <f>IF(C109=2011, AJ109/3,AJ109)+AI109</f>
        <v>0</v>
      </c>
      <c r="AL109" s="22"/>
      <c r="AM109" s="41"/>
      <c r="AN109" s="41"/>
      <c r="AO109" s="41"/>
      <c r="AP109" s="41">
        <f>0</f>
        <v>0</v>
      </c>
      <c r="AQ109" s="41"/>
      <c r="AR109" s="41"/>
      <c r="AT109" s="95"/>
      <c r="AU109" s="96">
        <f>SUM(AM109:AS109)</f>
        <v>0</v>
      </c>
      <c r="AV109" s="97">
        <f>IF(C109=2015, AU109/3,AU109)+AT109</f>
        <v>0</v>
      </c>
    </row>
    <row r="110" spans="1:67" x14ac:dyDescent="0.25">
      <c r="A110" s="77" t="s">
        <v>642</v>
      </c>
      <c r="B110" s="87" t="s">
        <v>231</v>
      </c>
      <c r="D110" s="1">
        <f t="shared" si="34"/>
        <v>14</v>
      </c>
      <c r="E110" s="154"/>
      <c r="F110" s="154"/>
      <c r="I110" s="108"/>
      <c r="J110" s="108"/>
      <c r="K110" s="108"/>
      <c r="L110" s="108"/>
      <c r="M110" s="108"/>
      <c r="N110" s="267">
        <f t="shared" si="41"/>
        <v>14</v>
      </c>
      <c r="P110" s="96">
        <f t="shared" si="35"/>
        <v>14</v>
      </c>
      <c r="Q110" s="97">
        <f t="shared" si="42"/>
        <v>14</v>
      </c>
      <c r="R110" s="108"/>
      <c r="S110" s="201"/>
      <c r="T110" s="192"/>
      <c r="U110" s="183"/>
      <c r="V110" s="168"/>
      <c r="W110" s="50"/>
      <c r="X110" s="50"/>
      <c r="Y110" s="215">
        <f t="shared" si="43"/>
        <v>14</v>
      </c>
      <c r="Z110" s="120"/>
      <c r="AA110" s="96">
        <f>S110+T110+U110+V110+W110+X110+Y110</f>
        <v>14</v>
      </c>
      <c r="AB110" s="97">
        <f>IF(C110=2012, AA110/3,AA110)+Z110</f>
        <v>14</v>
      </c>
      <c r="AC110" s="22"/>
      <c r="AD110" s="287"/>
      <c r="AE110" s="50"/>
      <c r="AF110" s="50">
        <f>14</f>
        <v>14</v>
      </c>
      <c r="AG110" s="50"/>
      <c r="AH110" s="50"/>
      <c r="AI110" s="120"/>
      <c r="AJ110" s="96">
        <f>SUM(AD110:AH110)</f>
        <v>14</v>
      </c>
      <c r="AK110" s="97">
        <f>IF(C110=2011, AJ110/3,AJ110)+AI110</f>
        <v>14</v>
      </c>
      <c r="AL110" s="22"/>
      <c r="AT110" s="95"/>
      <c r="AU110" s="96"/>
      <c r="AV110" s="97"/>
    </row>
    <row r="111" spans="1:67" x14ac:dyDescent="0.25">
      <c r="A111" s="77" t="s">
        <v>906</v>
      </c>
      <c r="B111" s="87" t="s">
        <v>64</v>
      </c>
      <c r="C111" s="3">
        <v>2010</v>
      </c>
      <c r="D111" s="1">
        <f t="shared" si="34"/>
        <v>27</v>
      </c>
      <c r="E111" s="287"/>
      <c r="F111" s="287"/>
      <c r="H111" s="290"/>
      <c r="I111" s="267">
        <f>0</f>
        <v>0</v>
      </c>
      <c r="J111" s="267"/>
      <c r="K111" s="267">
        <f>24</f>
        <v>24</v>
      </c>
      <c r="L111" s="267"/>
      <c r="M111" s="267"/>
      <c r="N111" s="267">
        <f t="shared" si="41"/>
        <v>3</v>
      </c>
      <c r="P111" s="96">
        <f t="shared" si="35"/>
        <v>27</v>
      </c>
      <c r="Q111" s="97">
        <f t="shared" si="42"/>
        <v>27</v>
      </c>
      <c r="R111" s="267"/>
      <c r="S111" s="201"/>
      <c r="T111" s="192"/>
      <c r="U111" s="183"/>
      <c r="V111" s="168">
        <f>0+3</f>
        <v>3</v>
      </c>
      <c r="W111" s="50"/>
      <c r="X111" s="50"/>
      <c r="Y111" s="215">
        <f t="shared" si="43"/>
        <v>0</v>
      </c>
      <c r="Z111" s="120"/>
      <c r="AA111" s="96">
        <f>S111+T111+U111+V111+W111+X111+Y111</f>
        <v>3</v>
      </c>
      <c r="AB111" s="97">
        <f>IF(C111=2012, AA111/3,AA111)+Z111</f>
        <v>3</v>
      </c>
      <c r="AC111" s="22"/>
      <c r="AD111" s="201"/>
      <c r="AE111" s="50"/>
      <c r="AF111" s="50"/>
      <c r="AG111" s="50"/>
      <c r="AH111" s="50"/>
      <c r="AI111" s="120"/>
      <c r="AJ111" s="96">
        <f>SUM(AD111:AH111)</f>
        <v>0</v>
      </c>
      <c r="AK111" s="97">
        <f>IF(C111=2011, AJ111/3,AJ111)+AI111</f>
        <v>0</v>
      </c>
      <c r="AL111" s="22"/>
      <c r="AT111" s="95"/>
      <c r="AU111" s="96"/>
      <c r="AV111" s="97"/>
    </row>
    <row r="112" spans="1:67" x14ac:dyDescent="0.25">
      <c r="A112" s="60" t="s">
        <v>900</v>
      </c>
      <c r="B112" s="65" t="s">
        <v>63</v>
      </c>
      <c r="C112" s="62">
        <v>2011</v>
      </c>
      <c r="D112" s="1">
        <f t="shared" ref="D112:D143" si="44">Q112+E112</f>
        <v>119</v>
      </c>
      <c r="H112" s="290"/>
      <c r="J112" s="246">
        <f>36+2</f>
        <v>38</v>
      </c>
      <c r="K112" s="241">
        <f>34</f>
        <v>34</v>
      </c>
      <c r="N112" s="267">
        <f t="shared" si="41"/>
        <v>47</v>
      </c>
      <c r="P112" s="96">
        <f t="shared" ref="P112:P143" si="45">I112+J112+K112+L112+N112</f>
        <v>119</v>
      </c>
      <c r="Q112" s="97">
        <f t="shared" si="42"/>
        <v>119</v>
      </c>
      <c r="S112" s="287">
        <f>11+2</f>
        <v>13</v>
      </c>
      <c r="T112" s="287">
        <f>12+4</f>
        <v>16</v>
      </c>
      <c r="U112" s="287">
        <f>0</f>
        <v>0</v>
      </c>
      <c r="V112" s="287">
        <f>18</f>
        <v>18</v>
      </c>
      <c r="W112" s="287"/>
      <c r="X112" s="287"/>
      <c r="Y112" s="287">
        <f t="shared" si="43"/>
        <v>0</v>
      </c>
      <c r="Z112" s="120"/>
      <c r="AA112" s="96">
        <f>S112+T112+U112+V112+W112+X112+Y112</f>
        <v>47</v>
      </c>
      <c r="AB112" s="97">
        <f>IF(C112=2012, AA112/3,AA112)+Z112</f>
        <v>47</v>
      </c>
      <c r="AC112" s="22"/>
      <c r="AD112" s="287"/>
      <c r="AE112" s="287"/>
      <c r="AF112" s="287"/>
      <c r="AG112" s="287"/>
      <c r="AH112" s="287"/>
      <c r="AI112" s="120"/>
      <c r="AJ112" s="96">
        <f>SUM(AD112:AH112)</f>
        <v>0</v>
      </c>
      <c r="AK112" s="97">
        <f>IF(C112=2011, AJ112/3,AJ112)+AI112</f>
        <v>0</v>
      </c>
      <c r="AL112" s="22"/>
      <c r="AT112" s="95"/>
      <c r="AU112" s="96"/>
      <c r="AV112" s="97"/>
    </row>
    <row r="113" spans="1:48" x14ac:dyDescent="0.25">
      <c r="A113" s="11" t="s">
        <v>256</v>
      </c>
      <c r="B113" s="60" t="s">
        <v>64</v>
      </c>
      <c r="C113" s="62">
        <v>2013</v>
      </c>
      <c r="D113" s="1">
        <f t="shared" si="44"/>
        <v>55.666666666666664</v>
      </c>
      <c r="E113" s="108"/>
      <c r="F113" s="108"/>
      <c r="H113" s="101"/>
      <c r="I113" s="287"/>
      <c r="J113" s="287"/>
      <c r="K113" s="287"/>
      <c r="L113" s="287"/>
      <c r="M113" s="287"/>
      <c r="N113" s="267">
        <f t="shared" si="41"/>
        <v>167</v>
      </c>
      <c r="P113" s="96">
        <f t="shared" si="45"/>
        <v>167</v>
      </c>
      <c r="Q113" s="97">
        <f t="shared" si="42"/>
        <v>55.666666666666664</v>
      </c>
      <c r="R113" s="287"/>
      <c r="S113" s="287"/>
      <c r="T113" s="287"/>
      <c r="U113" s="287"/>
      <c r="V113" s="287">
        <f>0+9+6</f>
        <v>15</v>
      </c>
      <c r="W113" s="287">
        <f>27+18</f>
        <v>45</v>
      </c>
      <c r="X113" s="287">
        <f>18</f>
        <v>18</v>
      </c>
      <c r="Y113" s="215">
        <f t="shared" si="43"/>
        <v>89</v>
      </c>
      <c r="Z113" s="120"/>
      <c r="AA113" s="96">
        <f>AM113+S113+T113+U113+V113+W113+X113+Y113</f>
        <v>167</v>
      </c>
      <c r="AB113" s="97">
        <f>IF(C113=2017, AA113/3,AA113)+Z113</f>
        <v>167</v>
      </c>
      <c r="AC113" s="269"/>
      <c r="AD113" s="269"/>
      <c r="AE113" s="187">
        <f>0</f>
        <v>0</v>
      </c>
      <c r="AF113" s="187">
        <f>21</f>
        <v>21</v>
      </c>
      <c r="AG113" s="187">
        <f>18+6</f>
        <v>24</v>
      </c>
      <c r="AH113" s="187">
        <f>AV113</f>
        <v>44</v>
      </c>
      <c r="AI113" s="120"/>
      <c r="AJ113" s="96">
        <f>SUM(AE113:AH113)</f>
        <v>89</v>
      </c>
      <c r="AK113" s="97">
        <f>IF(C113=2016, AJ113/3,AJ113)+AI113</f>
        <v>89</v>
      </c>
      <c r="AL113" s="22"/>
      <c r="AM113" s="41"/>
      <c r="AN113" s="41"/>
      <c r="AO113" s="41">
        <f>23+3</f>
        <v>26</v>
      </c>
      <c r="AP113" s="41">
        <f>18</f>
        <v>18</v>
      </c>
      <c r="AQ113" s="41"/>
      <c r="AR113" s="41"/>
      <c r="AT113" s="95"/>
      <c r="AU113" s="96">
        <f>SUM(AM113:AS113)</f>
        <v>44</v>
      </c>
      <c r="AV113" s="97">
        <f>IF(C113=2015, AU113/3,AU113)+AT113</f>
        <v>44</v>
      </c>
    </row>
    <row r="114" spans="1:48" x14ac:dyDescent="0.25">
      <c r="A114" s="11" t="s">
        <v>127</v>
      </c>
      <c r="B114" s="60" t="s">
        <v>111</v>
      </c>
      <c r="C114" s="62">
        <v>2011</v>
      </c>
      <c r="D114" s="1">
        <f t="shared" si="44"/>
        <v>117.33333333333333</v>
      </c>
      <c r="E114" s="154"/>
      <c r="F114" s="154"/>
      <c r="H114" s="290"/>
      <c r="N114" s="267">
        <f t="shared" si="41"/>
        <v>117.33333333333333</v>
      </c>
      <c r="P114" s="96">
        <f t="shared" si="45"/>
        <v>117.33333333333333</v>
      </c>
      <c r="Q114" s="97">
        <f t="shared" si="42"/>
        <v>117.33333333333333</v>
      </c>
      <c r="S114" s="201"/>
      <c r="T114" s="192"/>
      <c r="U114" s="183"/>
      <c r="V114" s="168"/>
      <c r="W114" s="50"/>
      <c r="X114" s="50"/>
      <c r="Y114" s="215">
        <f t="shared" si="43"/>
        <v>117.33333333333333</v>
      </c>
      <c r="Z114" s="120"/>
      <c r="AA114" s="96">
        <f>S114+T114+U114+V114+W114+X114+Y114</f>
        <v>117.33333333333333</v>
      </c>
      <c r="AB114" s="97">
        <f>IF(C114=2012, AA114/3,AA114)+Z114</f>
        <v>117.33333333333333</v>
      </c>
      <c r="AC114" s="287"/>
      <c r="AD114" s="287"/>
      <c r="AE114" s="50">
        <f>50</f>
        <v>50</v>
      </c>
      <c r="AF114" s="50">
        <f>52</f>
        <v>52</v>
      </c>
      <c r="AG114" s="50">
        <f>32</f>
        <v>32</v>
      </c>
      <c r="AH114" s="50">
        <f>AV114</f>
        <v>194</v>
      </c>
      <c r="AI114" s="120">
        <f>8</f>
        <v>8</v>
      </c>
      <c r="AJ114" s="96">
        <f>SUM(AD114:AH114)</f>
        <v>328</v>
      </c>
      <c r="AK114" s="97">
        <f>IF(C114=2011, AJ114/3,AJ114)+AI114</f>
        <v>117.33333333333333</v>
      </c>
      <c r="AL114" s="22"/>
      <c r="AM114" s="41"/>
      <c r="AN114" s="41">
        <f>20+5</f>
        <v>25</v>
      </c>
      <c r="AO114" s="41"/>
      <c r="AP114" s="41">
        <f>45+6</f>
        <v>51</v>
      </c>
      <c r="AQ114" s="41">
        <f>36+15</f>
        <v>51</v>
      </c>
      <c r="AR114" s="41">
        <f>37+30</f>
        <v>67</v>
      </c>
      <c r="AT114" s="95"/>
      <c r="AU114" s="96">
        <f>SUM(AM114:AS114)</f>
        <v>194</v>
      </c>
      <c r="AV114" s="97">
        <f>IF(C114=2015, AU114/3,AU114)+AT114</f>
        <v>194</v>
      </c>
    </row>
    <row r="115" spans="1:48" x14ac:dyDescent="0.25">
      <c r="A115" s="11" t="s">
        <v>726</v>
      </c>
      <c r="B115" s="11" t="s">
        <v>63</v>
      </c>
      <c r="C115" s="3">
        <v>2013</v>
      </c>
      <c r="D115" s="1">
        <f t="shared" si="44"/>
        <v>78.666666666666657</v>
      </c>
      <c r="E115" s="287">
        <f>0+15</f>
        <v>15</v>
      </c>
      <c r="F115" s="287"/>
      <c r="H115" s="280"/>
      <c r="I115" s="154">
        <f>16</f>
        <v>16</v>
      </c>
      <c r="J115" s="154">
        <f>0</f>
        <v>0</v>
      </c>
      <c r="K115" s="154">
        <f>15+4</f>
        <v>19</v>
      </c>
      <c r="L115" s="154"/>
      <c r="M115" s="154"/>
      <c r="N115" s="267">
        <f t="shared" si="41"/>
        <v>138</v>
      </c>
      <c r="O115" s="120">
        <f>6</f>
        <v>6</v>
      </c>
      <c r="P115" s="96">
        <f t="shared" si="45"/>
        <v>173</v>
      </c>
      <c r="Q115" s="97">
        <f t="shared" si="42"/>
        <v>63.666666666666664</v>
      </c>
      <c r="R115" s="154"/>
      <c r="S115" s="154">
        <f>14+4</f>
        <v>18</v>
      </c>
      <c r="T115" s="154">
        <f>0</f>
        <v>0</v>
      </c>
      <c r="U115" s="154">
        <f>6</f>
        <v>6</v>
      </c>
      <c r="V115" s="154">
        <f>40+10</f>
        <v>50</v>
      </c>
      <c r="W115" s="154">
        <f>34+6+1</f>
        <v>41</v>
      </c>
      <c r="X115" s="154">
        <f>23</f>
        <v>23</v>
      </c>
      <c r="Y115" s="215">
        <f t="shared" si="43"/>
        <v>0</v>
      </c>
      <c r="Z115" s="152"/>
      <c r="AA115" s="96">
        <f>AM115+S115+T115+U115+V115+W115+X115+Y115</f>
        <v>138</v>
      </c>
      <c r="AB115" s="97">
        <f>IF(C115=2017, AA115/3,AA115)+Z115</f>
        <v>138</v>
      </c>
      <c r="AC115" s="290"/>
      <c r="AD115" s="290"/>
      <c r="AE115" s="50"/>
      <c r="AF115" s="50"/>
      <c r="AG115" s="50"/>
      <c r="AH115" s="50"/>
      <c r="AI115" s="120"/>
      <c r="AJ115" s="96">
        <f>SUM(AE115:AH115)</f>
        <v>0</v>
      </c>
      <c r="AK115" s="97">
        <f>IF(C115=2016, AJ115/3,AJ115)+AI115</f>
        <v>0</v>
      </c>
      <c r="AL115" s="101"/>
      <c r="AM115" s="151"/>
      <c r="AN115" s="151"/>
      <c r="AO115" s="151"/>
      <c r="AP115" s="151"/>
      <c r="AQ115" s="151"/>
      <c r="AR115" s="151"/>
      <c r="AS115" s="151"/>
      <c r="AT115" s="95"/>
      <c r="AU115" s="96">
        <f>SUM(AM115:AS115)</f>
        <v>0</v>
      </c>
      <c r="AV115" s="97">
        <f>IF(C115=2015, AU115/3,AU115)+AT115</f>
        <v>0</v>
      </c>
    </row>
    <row r="116" spans="1:48" x14ac:dyDescent="0.25">
      <c r="A116" s="60" t="s">
        <v>589</v>
      </c>
      <c r="B116" s="65" t="s">
        <v>583</v>
      </c>
      <c r="C116" s="62">
        <v>2010</v>
      </c>
      <c r="D116" s="1">
        <f t="shared" si="44"/>
        <v>6</v>
      </c>
      <c r="I116" s="287"/>
      <c r="J116" s="287"/>
      <c r="K116" s="287"/>
      <c r="L116" s="287"/>
      <c r="M116" s="287"/>
      <c r="N116" s="267">
        <f t="shared" si="41"/>
        <v>6</v>
      </c>
      <c r="P116" s="96">
        <f t="shared" si="45"/>
        <v>6</v>
      </c>
      <c r="Q116" s="97">
        <f t="shared" si="42"/>
        <v>6</v>
      </c>
      <c r="R116" s="287"/>
      <c r="S116" s="201"/>
      <c r="T116" s="192"/>
      <c r="U116" s="183"/>
      <c r="V116" s="168"/>
      <c r="W116" s="50"/>
      <c r="X116" s="50">
        <f>3</f>
        <v>3</v>
      </c>
      <c r="Y116" s="215">
        <f t="shared" si="43"/>
        <v>3</v>
      </c>
      <c r="Z116" s="120"/>
      <c r="AA116" s="96">
        <f t="shared" ref="AA116:AA121" si="46">S116+T116+U116+V116+W116+X116+Y116</f>
        <v>6</v>
      </c>
      <c r="AB116" s="97">
        <f t="shared" ref="AB116:AB121" si="47">IF(C116=2012, AA116/3,AA116)+Z116</f>
        <v>6</v>
      </c>
      <c r="AC116" s="22"/>
      <c r="AD116" s="267"/>
      <c r="AE116" s="50"/>
      <c r="AF116" s="50"/>
      <c r="AG116" s="50">
        <f>3</f>
        <v>3</v>
      </c>
      <c r="AH116" s="50"/>
      <c r="AI116" s="120"/>
      <c r="AJ116" s="96">
        <f t="shared" ref="AJ116:AJ121" si="48">SUM(AD116:AH116)</f>
        <v>3</v>
      </c>
      <c r="AK116" s="97">
        <f t="shared" ref="AK116:AK121" si="49">IF(C116=2011, AJ116/3,AJ116)+AI116</f>
        <v>3</v>
      </c>
      <c r="AL116" s="22"/>
      <c r="AT116" s="95"/>
      <c r="AU116" s="96">
        <f>SUM(AM116:AS116)</f>
        <v>0</v>
      </c>
      <c r="AV116" s="97">
        <f>IF(C116=2010, AU116/3,AU116)+AT116</f>
        <v>0</v>
      </c>
    </row>
    <row r="117" spans="1:48" x14ac:dyDescent="0.25">
      <c r="A117" s="11" t="s">
        <v>721</v>
      </c>
      <c r="B117" s="11" t="s">
        <v>63</v>
      </c>
      <c r="C117" s="3">
        <v>2011</v>
      </c>
      <c r="D117" s="1">
        <f t="shared" si="44"/>
        <v>6</v>
      </c>
      <c r="E117" s="154"/>
      <c r="F117" s="154"/>
      <c r="H117" s="280"/>
      <c r="I117" s="154"/>
      <c r="J117" s="154"/>
      <c r="K117" s="154"/>
      <c r="L117" s="154"/>
      <c r="M117" s="154"/>
      <c r="N117" s="267">
        <f t="shared" si="41"/>
        <v>6</v>
      </c>
      <c r="P117" s="96">
        <f t="shared" si="45"/>
        <v>6</v>
      </c>
      <c r="Q117" s="97">
        <f t="shared" si="42"/>
        <v>6</v>
      </c>
      <c r="R117" s="154"/>
      <c r="S117" s="201"/>
      <c r="T117" s="192"/>
      <c r="U117" s="183"/>
      <c r="V117" s="168"/>
      <c r="W117" s="50"/>
      <c r="X117" s="50"/>
      <c r="Y117" s="215">
        <f t="shared" si="43"/>
        <v>6</v>
      </c>
      <c r="Z117" s="120"/>
      <c r="AA117" s="96">
        <f t="shared" si="46"/>
        <v>6</v>
      </c>
      <c r="AB117" s="97">
        <f t="shared" si="47"/>
        <v>6</v>
      </c>
      <c r="AC117" s="287"/>
      <c r="AD117" s="231">
        <f>12</f>
        <v>12</v>
      </c>
      <c r="AE117" s="50"/>
      <c r="AF117" s="50"/>
      <c r="AG117" s="50"/>
      <c r="AH117" s="50"/>
      <c r="AI117" s="120">
        <f>2</f>
        <v>2</v>
      </c>
      <c r="AJ117" s="96">
        <f t="shared" si="48"/>
        <v>12</v>
      </c>
      <c r="AK117" s="97">
        <f t="shared" si="49"/>
        <v>6</v>
      </c>
      <c r="AL117" s="101"/>
      <c r="AM117" s="41"/>
      <c r="AN117" s="41"/>
      <c r="AO117" s="41"/>
      <c r="AP117" s="41"/>
      <c r="AQ117" s="41"/>
      <c r="AR117" s="41"/>
      <c r="AS117" s="41"/>
      <c r="AT117" s="95"/>
      <c r="AU117" s="96"/>
      <c r="AV117" s="97"/>
    </row>
    <row r="118" spans="1:48" x14ac:dyDescent="0.25">
      <c r="A118" s="11" t="s">
        <v>759</v>
      </c>
      <c r="B118" s="11" t="s">
        <v>296</v>
      </c>
      <c r="C118" s="3">
        <v>2012</v>
      </c>
      <c r="D118" s="1">
        <f t="shared" si="44"/>
        <v>1</v>
      </c>
      <c r="E118" s="154"/>
      <c r="F118" s="154"/>
      <c r="H118" s="290"/>
      <c r="I118" s="108"/>
      <c r="J118" s="108"/>
      <c r="K118" s="108"/>
      <c r="L118" s="108"/>
      <c r="M118" s="108"/>
      <c r="N118" s="267">
        <f t="shared" si="41"/>
        <v>1</v>
      </c>
      <c r="P118" s="96">
        <f t="shared" si="45"/>
        <v>1</v>
      </c>
      <c r="Q118" s="97">
        <f t="shared" si="42"/>
        <v>1</v>
      </c>
      <c r="R118" s="108"/>
      <c r="X118" s="154">
        <f>0</f>
        <v>0</v>
      </c>
      <c r="Y118" s="215">
        <f t="shared" si="43"/>
        <v>0</v>
      </c>
      <c r="Z118" s="152">
        <f>1</f>
        <v>1</v>
      </c>
      <c r="AA118" s="96">
        <f t="shared" si="46"/>
        <v>0</v>
      </c>
      <c r="AB118" s="97">
        <f t="shared" si="47"/>
        <v>1</v>
      </c>
      <c r="AC118" s="269"/>
      <c r="AD118" s="269"/>
      <c r="AE118" s="50"/>
      <c r="AF118" s="50"/>
      <c r="AG118" s="50"/>
      <c r="AH118" s="50"/>
      <c r="AI118" s="120"/>
      <c r="AJ118" s="96">
        <f t="shared" si="48"/>
        <v>0</v>
      </c>
      <c r="AK118" s="97">
        <f t="shared" si="49"/>
        <v>0</v>
      </c>
      <c r="AL118" s="101"/>
      <c r="AM118" s="151"/>
      <c r="AN118" s="151"/>
      <c r="AO118" s="151"/>
      <c r="AP118" s="151"/>
      <c r="AQ118" s="151"/>
      <c r="AR118" s="151"/>
      <c r="AS118" s="151"/>
      <c r="AT118" s="95"/>
      <c r="AU118" s="96"/>
      <c r="AV118" s="97"/>
    </row>
    <row r="119" spans="1:48" ht="14.25" customHeight="1" x14ac:dyDescent="0.25">
      <c r="A119" s="11" t="s">
        <v>1436</v>
      </c>
      <c r="B119" s="11" t="s">
        <v>629</v>
      </c>
      <c r="C119" s="3">
        <v>2012</v>
      </c>
      <c r="D119" s="1">
        <f t="shared" si="44"/>
        <v>67.666666666666671</v>
      </c>
      <c r="E119" s="283">
        <f>50</f>
        <v>50</v>
      </c>
      <c r="I119" s="154">
        <f>15</f>
        <v>15</v>
      </c>
      <c r="J119" s="154">
        <f>0</f>
        <v>0</v>
      </c>
      <c r="K119" s="154"/>
      <c r="L119" s="154"/>
      <c r="M119" s="154"/>
      <c r="N119" s="267">
        <f t="shared" si="41"/>
        <v>2.6666666666666665</v>
      </c>
      <c r="P119" s="96">
        <f t="shared" si="45"/>
        <v>17.666666666666668</v>
      </c>
      <c r="Q119" s="97">
        <f t="shared" si="42"/>
        <v>17.666666666666668</v>
      </c>
      <c r="R119" s="154"/>
      <c r="S119" s="287"/>
      <c r="T119" s="287"/>
      <c r="U119" s="287"/>
      <c r="V119" s="287"/>
      <c r="W119" s="287">
        <f>6+2</f>
        <v>8</v>
      </c>
      <c r="X119" s="287"/>
      <c r="Y119" s="215">
        <f t="shared" si="43"/>
        <v>0</v>
      </c>
      <c r="Z119" s="120"/>
      <c r="AA119" s="96">
        <f t="shared" si="46"/>
        <v>8</v>
      </c>
      <c r="AB119" s="97">
        <f t="shared" si="47"/>
        <v>2.6666666666666665</v>
      </c>
      <c r="AC119" s="287"/>
      <c r="AD119" s="287"/>
      <c r="AE119" s="50"/>
      <c r="AF119" s="50"/>
      <c r="AG119" s="50"/>
      <c r="AH119" s="50"/>
      <c r="AI119" s="120"/>
      <c r="AJ119" s="96">
        <f t="shared" si="48"/>
        <v>0</v>
      </c>
      <c r="AK119" s="97">
        <f t="shared" si="49"/>
        <v>0</v>
      </c>
      <c r="AL119" s="101"/>
      <c r="AM119" s="41"/>
      <c r="AN119" s="41"/>
      <c r="AO119" s="41"/>
      <c r="AP119" s="41"/>
      <c r="AQ119" s="41"/>
      <c r="AR119" s="41"/>
      <c r="AS119" s="41"/>
      <c r="AT119" s="95"/>
      <c r="AU119" s="96"/>
      <c r="AV119" s="97"/>
    </row>
    <row r="120" spans="1:48" x14ac:dyDescent="0.25">
      <c r="A120" s="11" t="s">
        <v>682</v>
      </c>
      <c r="B120" s="11" t="s">
        <v>7</v>
      </c>
      <c r="C120" s="3">
        <v>2012</v>
      </c>
      <c r="D120" s="1">
        <f t="shared" si="44"/>
        <v>54.333333333333336</v>
      </c>
      <c r="I120" s="154"/>
      <c r="J120" s="154"/>
      <c r="K120" s="154"/>
      <c r="L120" s="154"/>
      <c r="M120" s="154"/>
      <c r="N120" s="267">
        <f t="shared" si="41"/>
        <v>54.333333333333336</v>
      </c>
      <c r="P120" s="96">
        <f t="shared" si="45"/>
        <v>54.333333333333336</v>
      </c>
      <c r="Q120" s="97">
        <f t="shared" si="42"/>
        <v>54.333333333333336</v>
      </c>
      <c r="R120" s="154"/>
      <c r="V120" s="154">
        <f>44</f>
        <v>44</v>
      </c>
      <c r="W120" s="154">
        <f>72</f>
        <v>72</v>
      </c>
      <c r="X120" s="154">
        <f>16</f>
        <v>16</v>
      </c>
      <c r="Y120" s="215">
        <f t="shared" si="43"/>
        <v>31</v>
      </c>
      <c r="Z120" s="152"/>
      <c r="AA120" s="96">
        <f t="shared" si="46"/>
        <v>163</v>
      </c>
      <c r="AB120" s="97">
        <f t="shared" si="47"/>
        <v>54.333333333333336</v>
      </c>
      <c r="AC120" s="290"/>
      <c r="AD120" s="290"/>
      <c r="AE120" s="187">
        <f>31</f>
        <v>31</v>
      </c>
      <c r="AF120" s="187"/>
      <c r="AG120" s="187"/>
      <c r="AH120" s="187"/>
      <c r="AI120" s="120"/>
      <c r="AJ120" s="96">
        <f t="shared" si="48"/>
        <v>31</v>
      </c>
      <c r="AK120" s="97">
        <f t="shared" si="49"/>
        <v>31</v>
      </c>
      <c r="AL120" s="101"/>
      <c r="AM120" s="151"/>
      <c r="AN120" s="151"/>
      <c r="AO120" s="151"/>
      <c r="AP120" s="151"/>
      <c r="AQ120" s="151"/>
      <c r="AR120" s="151"/>
      <c r="AS120" s="151"/>
      <c r="AT120" s="95"/>
      <c r="AU120" s="96">
        <f>SUM(AM120:AS120)</f>
        <v>0</v>
      </c>
      <c r="AV120" s="97">
        <f>IF(C120=2015, AU120/3,AU120)+AT120</f>
        <v>0</v>
      </c>
    </row>
    <row r="121" spans="1:48" x14ac:dyDescent="0.25">
      <c r="A121" s="11" t="s">
        <v>1045</v>
      </c>
      <c r="B121" s="11" t="s">
        <v>994</v>
      </c>
      <c r="C121" s="3">
        <v>2011</v>
      </c>
      <c r="D121" s="1">
        <f t="shared" si="44"/>
        <v>6</v>
      </c>
      <c r="E121" s="154"/>
      <c r="F121" s="154"/>
      <c r="H121" s="290"/>
      <c r="M121" s="215">
        <f>15</f>
        <v>15</v>
      </c>
      <c r="N121" s="267">
        <f t="shared" si="41"/>
        <v>6</v>
      </c>
      <c r="P121" s="96">
        <f t="shared" si="45"/>
        <v>6</v>
      </c>
      <c r="Q121" s="97">
        <f t="shared" si="42"/>
        <v>6</v>
      </c>
      <c r="S121" s="201">
        <f>6</f>
        <v>6</v>
      </c>
      <c r="T121" s="192"/>
      <c r="U121" s="187"/>
      <c r="V121" s="187"/>
      <c r="W121" s="187"/>
      <c r="X121" s="187"/>
      <c r="Y121" s="215">
        <f t="shared" si="43"/>
        <v>0</v>
      </c>
      <c r="Z121" s="120"/>
      <c r="AA121" s="96">
        <f t="shared" si="46"/>
        <v>6</v>
      </c>
      <c r="AB121" s="97">
        <f t="shared" si="47"/>
        <v>6</v>
      </c>
      <c r="AC121" s="287"/>
      <c r="AD121" s="201"/>
      <c r="AE121" s="50"/>
      <c r="AF121" s="50"/>
      <c r="AG121" s="50"/>
      <c r="AH121" s="50"/>
      <c r="AI121" s="120"/>
      <c r="AJ121" s="96">
        <f t="shared" si="48"/>
        <v>0</v>
      </c>
      <c r="AK121" s="97">
        <f t="shared" si="49"/>
        <v>0</v>
      </c>
      <c r="AL121" s="101"/>
      <c r="AM121" s="41"/>
      <c r="AN121" s="41"/>
      <c r="AO121" s="41"/>
      <c r="AP121" s="41"/>
      <c r="AQ121" s="41"/>
      <c r="AR121" s="41"/>
      <c r="AS121" s="41"/>
      <c r="AT121" s="95"/>
      <c r="AU121" s="96"/>
      <c r="AV121" s="97"/>
    </row>
    <row r="122" spans="1:48" x14ac:dyDescent="0.25">
      <c r="A122" s="11" t="s">
        <v>335</v>
      </c>
      <c r="B122" s="60" t="s">
        <v>86</v>
      </c>
      <c r="C122" s="62">
        <v>2013</v>
      </c>
      <c r="D122" s="1">
        <f t="shared" si="44"/>
        <v>21</v>
      </c>
      <c r="E122" s="287"/>
      <c r="F122" s="287"/>
      <c r="L122" s="228">
        <f>0</f>
        <v>0</v>
      </c>
      <c r="N122" s="267">
        <f t="shared" si="41"/>
        <v>63</v>
      </c>
      <c r="P122" s="96">
        <f t="shared" si="45"/>
        <v>63</v>
      </c>
      <c r="Q122" s="97">
        <f t="shared" si="42"/>
        <v>21</v>
      </c>
      <c r="S122" s="201">
        <f>0</f>
        <v>0</v>
      </c>
      <c r="T122" s="192"/>
      <c r="U122" s="183"/>
      <c r="V122" s="168">
        <f>0</f>
        <v>0</v>
      </c>
      <c r="W122" s="50"/>
      <c r="X122" s="50"/>
      <c r="Y122" s="215">
        <f t="shared" si="43"/>
        <v>63</v>
      </c>
      <c r="Z122" s="120"/>
      <c r="AA122" s="96">
        <f>AM122+S122+T122+U122+V122+W122+X122+Y122</f>
        <v>63</v>
      </c>
      <c r="AB122" s="97">
        <f>IF(C122=2017, AA122/3,AA122)+Z122</f>
        <v>63</v>
      </c>
      <c r="AC122" s="290"/>
      <c r="AD122" s="290"/>
      <c r="AE122" s="50">
        <f>8</f>
        <v>8</v>
      </c>
      <c r="AF122" s="50">
        <f>32</f>
        <v>32</v>
      </c>
      <c r="AG122" s="50">
        <f>0+3+1</f>
        <v>4</v>
      </c>
      <c r="AH122" s="50">
        <f>AV122</f>
        <v>19</v>
      </c>
      <c r="AI122" s="120"/>
      <c r="AJ122" s="96">
        <f>SUM(AE122:AH122)</f>
        <v>63</v>
      </c>
      <c r="AK122" s="97">
        <f>IF(C122=2016, AJ122/3,AJ122)+AI122</f>
        <v>63</v>
      </c>
      <c r="AL122" s="22"/>
      <c r="AM122" s="41"/>
      <c r="AN122" s="41"/>
      <c r="AO122" s="41"/>
      <c r="AP122" s="41">
        <f>0+3</f>
        <v>3</v>
      </c>
      <c r="AQ122" s="41"/>
      <c r="AR122" s="41">
        <f>14+2</f>
        <v>16</v>
      </c>
      <c r="AT122" s="95"/>
      <c r="AU122" s="96">
        <f>SUM(AM122:AS122)</f>
        <v>19</v>
      </c>
      <c r="AV122" s="97">
        <f>IF(C122=2015, AU122/3,AU122)+AT122</f>
        <v>19</v>
      </c>
    </row>
    <row r="123" spans="1:48" x14ac:dyDescent="0.25">
      <c r="A123" s="60" t="s">
        <v>666</v>
      </c>
      <c r="B123" s="65" t="s">
        <v>658</v>
      </c>
      <c r="C123" s="62"/>
      <c r="D123" s="1">
        <f t="shared" si="44"/>
        <v>21</v>
      </c>
      <c r="E123" s="108"/>
      <c r="F123" s="108"/>
      <c r="H123" s="101"/>
      <c r="N123" s="267">
        <f t="shared" si="41"/>
        <v>21</v>
      </c>
      <c r="P123" s="96">
        <f t="shared" si="45"/>
        <v>21</v>
      </c>
      <c r="Q123" s="97">
        <f t="shared" si="42"/>
        <v>21</v>
      </c>
      <c r="S123" s="201"/>
      <c r="T123" s="192"/>
      <c r="U123" s="183"/>
      <c r="V123" s="168"/>
      <c r="W123" s="50"/>
      <c r="X123" s="50"/>
      <c r="Y123" s="215">
        <f t="shared" si="43"/>
        <v>21</v>
      </c>
      <c r="Z123" s="120"/>
      <c r="AA123" s="96">
        <f>S123+T123+U123+V123+W123+X123+Y123</f>
        <v>21</v>
      </c>
      <c r="AB123" s="97">
        <f>IF(C123=2012, AA123/3,AA123)+Z123</f>
        <v>21</v>
      </c>
      <c r="AC123" s="22"/>
      <c r="AD123" s="256"/>
      <c r="AE123" s="50"/>
      <c r="AF123" s="50">
        <f>0+21</f>
        <v>21</v>
      </c>
      <c r="AG123" s="50"/>
      <c r="AH123" s="50"/>
      <c r="AI123" s="120"/>
      <c r="AJ123" s="96">
        <f>SUM(AD123:AH123)</f>
        <v>21</v>
      </c>
      <c r="AK123" s="97">
        <f>IF(C123=2011, AJ123/3,AJ123)+AI123</f>
        <v>21</v>
      </c>
      <c r="AL123" s="22"/>
      <c r="AT123" s="95"/>
      <c r="AU123" s="96"/>
      <c r="AV123" s="97"/>
    </row>
    <row r="124" spans="1:48" x14ac:dyDescent="0.25">
      <c r="A124" s="11" t="s">
        <v>1194</v>
      </c>
      <c r="B124" s="87" t="s">
        <v>87</v>
      </c>
      <c r="C124" s="3">
        <v>2012</v>
      </c>
      <c r="D124" s="1">
        <f t="shared" si="44"/>
        <v>30</v>
      </c>
      <c r="L124" s="231">
        <f>0</f>
        <v>0</v>
      </c>
      <c r="M124" s="231"/>
      <c r="N124" s="267">
        <f t="shared" si="41"/>
        <v>0</v>
      </c>
      <c r="O124" s="120">
        <f>30</f>
        <v>30</v>
      </c>
      <c r="P124" s="96">
        <f t="shared" si="45"/>
        <v>0</v>
      </c>
      <c r="Q124" s="97">
        <f t="shared" si="42"/>
        <v>30</v>
      </c>
      <c r="R124" s="231"/>
    </row>
    <row r="125" spans="1:48" x14ac:dyDescent="0.25">
      <c r="A125" s="11" t="s">
        <v>715</v>
      </c>
      <c r="B125" s="11" t="s">
        <v>63</v>
      </c>
      <c r="C125" s="3">
        <v>2013</v>
      </c>
      <c r="D125" s="1">
        <f t="shared" si="44"/>
        <v>212.66666666666666</v>
      </c>
      <c r="E125" s="108">
        <f>0+9</f>
        <v>9</v>
      </c>
      <c r="F125" s="108">
        <f>3</f>
        <v>3</v>
      </c>
      <c r="H125" s="101"/>
      <c r="I125" s="154">
        <f>21+18</f>
        <v>39</v>
      </c>
      <c r="J125" s="154">
        <f>63+18</f>
        <v>81</v>
      </c>
      <c r="K125" s="154">
        <f>69+15</f>
        <v>84</v>
      </c>
      <c r="L125" s="154">
        <f>108+15</f>
        <v>123</v>
      </c>
      <c r="M125" s="154"/>
      <c r="N125" s="267">
        <f t="shared" si="41"/>
        <v>284</v>
      </c>
      <c r="P125" s="96">
        <f t="shared" si="45"/>
        <v>611</v>
      </c>
      <c r="Q125" s="97">
        <f t="shared" si="42"/>
        <v>203.66666666666666</v>
      </c>
      <c r="R125" s="154"/>
      <c r="S125" s="154">
        <f>54+6</f>
        <v>60</v>
      </c>
      <c r="T125" s="154">
        <f>78</f>
        <v>78</v>
      </c>
      <c r="U125" s="154">
        <f>18+10+3</f>
        <v>31</v>
      </c>
      <c r="V125" s="154">
        <f>53+2+3+3</f>
        <v>61</v>
      </c>
      <c r="W125" s="154">
        <f>0+4+12+6</f>
        <v>22</v>
      </c>
      <c r="X125" s="154">
        <f>30+2</f>
        <v>32</v>
      </c>
      <c r="Y125" s="215">
        <f t="shared" ref="Y125:Y132" si="50">AK125</f>
        <v>0</v>
      </c>
      <c r="Z125" s="152"/>
      <c r="AA125" s="96">
        <f>AM125+S125+T125+U125+V125+W125+X125+Y125</f>
        <v>284</v>
      </c>
      <c r="AB125" s="97">
        <f>IF(C125=2017, AA125/3,AA125)+Z125</f>
        <v>284</v>
      </c>
      <c r="AC125" s="290"/>
      <c r="AD125" s="290"/>
      <c r="AE125" s="50"/>
      <c r="AF125" s="50"/>
      <c r="AG125" s="50"/>
      <c r="AH125" s="50"/>
      <c r="AI125" s="120"/>
      <c r="AJ125" s="96">
        <f>SUM(AE125:AH125)</f>
        <v>0</v>
      </c>
      <c r="AK125" s="97">
        <f>IF(C125=2016, AJ125/3,AJ125)+AI125</f>
        <v>0</v>
      </c>
      <c r="AL125" s="101"/>
      <c r="AM125" s="151"/>
      <c r="AN125" s="151"/>
      <c r="AO125" s="151"/>
      <c r="AP125" s="151"/>
      <c r="AQ125" s="151"/>
      <c r="AR125" s="151"/>
      <c r="AS125" s="151"/>
      <c r="AT125" s="95"/>
      <c r="AU125" s="96">
        <f>SUM(AM125:AS125)</f>
        <v>0</v>
      </c>
      <c r="AV125" s="97">
        <f>IF(C125=2015, AU125/3,AU125)+AT125</f>
        <v>0</v>
      </c>
    </row>
    <row r="126" spans="1:48" x14ac:dyDescent="0.25">
      <c r="A126" s="11" t="s">
        <v>478</v>
      </c>
      <c r="B126" s="60" t="s">
        <v>272</v>
      </c>
      <c r="C126" s="62">
        <v>2013</v>
      </c>
      <c r="D126" s="1">
        <f t="shared" si="44"/>
        <v>0</v>
      </c>
      <c r="I126" s="287"/>
      <c r="J126" s="287"/>
      <c r="K126" s="287"/>
      <c r="L126" s="287"/>
      <c r="M126" s="287"/>
      <c r="N126" s="267">
        <f t="shared" si="41"/>
        <v>0</v>
      </c>
      <c r="P126" s="96">
        <f t="shared" si="45"/>
        <v>0</v>
      </c>
      <c r="Q126" s="97">
        <f t="shared" si="42"/>
        <v>0</v>
      </c>
      <c r="R126" s="287"/>
      <c r="S126" s="287"/>
      <c r="T126" s="287"/>
      <c r="U126" s="287"/>
      <c r="V126" s="287"/>
      <c r="W126" s="287"/>
      <c r="X126" s="287"/>
      <c r="Y126" s="215">
        <f t="shared" si="50"/>
        <v>0</v>
      </c>
      <c r="Z126" s="120"/>
      <c r="AA126" s="96">
        <f>AM126+S126+T126+U126+V126+W126+X126+Y126</f>
        <v>0</v>
      </c>
      <c r="AB126" s="97">
        <f>IF(C126=2017, AA126/3,AA126)+Z126</f>
        <v>0</v>
      </c>
      <c r="AC126" s="290"/>
      <c r="AD126" s="290"/>
      <c r="AE126" s="50"/>
      <c r="AF126" s="50"/>
      <c r="AG126" s="50"/>
      <c r="AH126" s="50">
        <f>AV126</f>
        <v>0</v>
      </c>
      <c r="AI126" s="120"/>
      <c r="AJ126" s="96">
        <f>SUM(AE126:AH126)</f>
        <v>0</v>
      </c>
      <c r="AK126" s="97">
        <f>IF(C126=2016, AJ126/3,AJ126)+AI126</f>
        <v>0</v>
      </c>
      <c r="AL126" s="22"/>
      <c r="AM126" s="41"/>
      <c r="AN126" s="41"/>
      <c r="AO126" s="41"/>
      <c r="AP126" s="41"/>
      <c r="AQ126" s="41"/>
      <c r="AR126" s="41">
        <f>0</f>
        <v>0</v>
      </c>
      <c r="AT126" s="95"/>
      <c r="AU126" s="96">
        <f>SUM(AM126:AS126)</f>
        <v>0</v>
      </c>
      <c r="AV126" s="97">
        <f>IF(C126=2015, AU126/3,AU126)+AT126</f>
        <v>0</v>
      </c>
    </row>
    <row r="127" spans="1:48" x14ac:dyDescent="0.25">
      <c r="A127" s="11" t="s">
        <v>455</v>
      </c>
      <c r="B127" s="11" t="s">
        <v>7</v>
      </c>
      <c r="C127" s="3">
        <v>2012</v>
      </c>
      <c r="D127" s="1">
        <f t="shared" si="44"/>
        <v>54.333333333333336</v>
      </c>
      <c r="E127" s="154"/>
      <c r="F127" s="154"/>
      <c r="H127" s="280"/>
      <c r="L127" s="228">
        <f>6</f>
        <v>6</v>
      </c>
      <c r="M127" s="215">
        <f>0+6</f>
        <v>6</v>
      </c>
      <c r="N127" s="267">
        <f t="shared" si="41"/>
        <v>48.333333333333336</v>
      </c>
      <c r="P127" s="96">
        <f t="shared" si="45"/>
        <v>54.333333333333336</v>
      </c>
      <c r="Q127" s="97">
        <f t="shared" si="42"/>
        <v>54.333333333333336</v>
      </c>
      <c r="S127" s="154">
        <f>33</f>
        <v>33</v>
      </c>
      <c r="T127" s="154">
        <f>0</f>
        <v>0</v>
      </c>
      <c r="W127" s="154">
        <f>50</f>
        <v>50</v>
      </c>
      <c r="Y127" s="215">
        <f t="shared" si="50"/>
        <v>62</v>
      </c>
      <c r="Z127" s="152"/>
      <c r="AA127" s="96">
        <f>S127+T127+U127+V127+W127+X127+Y127</f>
        <v>145</v>
      </c>
      <c r="AB127" s="97">
        <f>IF(C127=2012, AA127/3,AA127)+Z127</f>
        <v>48.333333333333336</v>
      </c>
      <c r="AE127" s="50">
        <f>0</f>
        <v>0</v>
      </c>
      <c r="AF127" s="50">
        <f>42</f>
        <v>42</v>
      </c>
      <c r="AG127" s="50">
        <f>16+3+1</f>
        <v>20</v>
      </c>
      <c r="AH127" s="50">
        <f>AV127</f>
        <v>0</v>
      </c>
      <c r="AI127" s="120"/>
      <c r="AJ127" s="96">
        <f>SUM(AD127:AH127)</f>
        <v>62</v>
      </c>
      <c r="AK127" s="97">
        <f>IF(C127=2011, AJ127/3,AJ127)+AI127</f>
        <v>62</v>
      </c>
      <c r="AL127" s="101"/>
      <c r="AM127" s="151"/>
      <c r="AN127" s="151"/>
      <c r="AO127" s="151"/>
      <c r="AP127" s="151"/>
      <c r="AQ127" s="151"/>
      <c r="AR127" s="151"/>
      <c r="AS127" s="151"/>
      <c r="AT127" s="95"/>
      <c r="AU127" s="96"/>
      <c r="AV127" s="97"/>
    </row>
    <row r="128" spans="1:48" x14ac:dyDescent="0.25">
      <c r="A128" s="60" t="s">
        <v>660</v>
      </c>
      <c r="B128" s="65" t="s">
        <v>658</v>
      </c>
      <c r="C128" s="62"/>
      <c r="D128" s="1">
        <f t="shared" si="44"/>
        <v>90</v>
      </c>
      <c r="H128" s="280"/>
      <c r="I128" s="154"/>
      <c r="J128" s="154"/>
      <c r="K128" s="154"/>
      <c r="L128" s="154"/>
      <c r="M128" s="154"/>
      <c r="N128" s="267">
        <f t="shared" si="41"/>
        <v>90</v>
      </c>
      <c r="P128" s="96">
        <f t="shared" si="45"/>
        <v>90</v>
      </c>
      <c r="Q128" s="97">
        <f t="shared" si="42"/>
        <v>90</v>
      </c>
      <c r="R128" s="154"/>
      <c r="S128" s="201"/>
      <c r="T128" s="192"/>
      <c r="U128" s="183"/>
      <c r="V128" s="168"/>
      <c r="W128" s="168"/>
      <c r="X128" s="168"/>
      <c r="Y128" s="215">
        <f t="shared" si="50"/>
        <v>90</v>
      </c>
      <c r="Z128" s="120"/>
      <c r="AA128" s="96">
        <f>S128+T128+U128+V128+W128+X128+Y128</f>
        <v>90</v>
      </c>
      <c r="AB128" s="97">
        <f>IF(C128=2012, AA128/3,AA128)+Z128</f>
        <v>90</v>
      </c>
      <c r="AC128" s="22"/>
      <c r="AD128" s="256"/>
      <c r="AE128" s="168"/>
      <c r="AF128" s="168">
        <f>90</f>
        <v>90</v>
      </c>
      <c r="AG128" s="168"/>
      <c r="AH128" s="168"/>
      <c r="AI128" s="120"/>
      <c r="AJ128" s="96">
        <f>SUM(AD128:AH128)</f>
        <v>90</v>
      </c>
      <c r="AK128" s="97">
        <f>IF(C128=2011, AJ128/3,AJ128)+AI128</f>
        <v>90</v>
      </c>
      <c r="AL128" s="22"/>
      <c r="AT128" s="95"/>
      <c r="AU128" s="96"/>
      <c r="AV128" s="97"/>
    </row>
    <row r="129" spans="1:67" x14ac:dyDescent="0.25">
      <c r="A129" s="11" t="s">
        <v>396</v>
      </c>
      <c r="B129" s="60" t="s">
        <v>111</v>
      </c>
      <c r="C129" s="62">
        <v>2010</v>
      </c>
      <c r="D129" s="1">
        <f t="shared" si="44"/>
        <v>163</v>
      </c>
      <c r="H129" s="280"/>
      <c r="L129" s="231"/>
      <c r="M129" s="231"/>
      <c r="N129" s="267">
        <f t="shared" si="41"/>
        <v>163</v>
      </c>
      <c r="P129" s="96">
        <f t="shared" si="45"/>
        <v>163</v>
      </c>
      <c r="Q129" s="97">
        <f t="shared" si="42"/>
        <v>163</v>
      </c>
      <c r="R129" s="231"/>
      <c r="S129" s="287"/>
      <c r="T129" s="287"/>
      <c r="U129" s="287">
        <f>10+2</f>
        <v>12</v>
      </c>
      <c r="V129" s="287">
        <f>24+9</f>
        <v>33</v>
      </c>
      <c r="W129" s="287">
        <f>36+2</f>
        <v>38</v>
      </c>
      <c r="X129" s="287">
        <f>0+2</f>
        <v>2</v>
      </c>
      <c r="Y129" s="215">
        <f t="shared" si="50"/>
        <v>78</v>
      </c>
      <c r="Z129" s="120"/>
      <c r="AA129" s="96">
        <f>S129+T129+U129+V129+W129+X129+Y129</f>
        <v>163</v>
      </c>
      <c r="AB129" s="97">
        <f>IF(C129=2012, AA129/3,AA129)+Z129</f>
        <v>163</v>
      </c>
      <c r="AC129" s="22"/>
      <c r="AD129" s="287">
        <f>14+12</f>
        <v>26</v>
      </c>
      <c r="AE129" s="50">
        <f>11</f>
        <v>11</v>
      </c>
      <c r="AF129" s="50">
        <f>22</f>
        <v>22</v>
      </c>
      <c r="AG129" s="50"/>
      <c r="AH129" s="50">
        <f>AV129</f>
        <v>19</v>
      </c>
      <c r="AI129" s="120"/>
      <c r="AJ129" s="96">
        <f>SUM(AD129:AH129)</f>
        <v>78</v>
      </c>
      <c r="AK129" s="97">
        <f>IF(C129=2011, AJ129/3,AJ129)+AI129</f>
        <v>78</v>
      </c>
      <c r="AL129" s="22"/>
      <c r="AM129" s="41"/>
      <c r="AN129" s="41"/>
      <c r="AO129" s="41"/>
      <c r="AP129" s="41"/>
      <c r="AQ129" s="41">
        <f>29</f>
        <v>29</v>
      </c>
      <c r="AR129" s="41">
        <f>28</f>
        <v>28</v>
      </c>
      <c r="AT129" s="95"/>
      <c r="AU129" s="96">
        <f>SUM(AM129:AS129)</f>
        <v>57</v>
      </c>
      <c r="AV129" s="97">
        <f>IF(C129=2010, AU129/3,AU129)+AT129</f>
        <v>19</v>
      </c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</row>
    <row r="130" spans="1:67" x14ac:dyDescent="0.25">
      <c r="A130" s="11" t="s">
        <v>719</v>
      </c>
      <c r="B130" s="60" t="s">
        <v>0</v>
      </c>
      <c r="C130" s="62">
        <v>2013</v>
      </c>
      <c r="D130" s="1">
        <f t="shared" si="44"/>
        <v>195.33333333333334</v>
      </c>
      <c r="E130" s="283">
        <f>24+12</f>
        <v>36</v>
      </c>
      <c r="I130" s="261">
        <f>21</f>
        <v>21</v>
      </c>
      <c r="J130" s="256">
        <f>64</f>
        <v>64</v>
      </c>
      <c r="K130" s="256">
        <f>55</f>
        <v>55</v>
      </c>
      <c r="L130" s="256">
        <f>34</f>
        <v>34</v>
      </c>
      <c r="M130" s="256"/>
      <c r="N130" s="267">
        <f t="shared" si="41"/>
        <v>211</v>
      </c>
      <c r="O130" s="120">
        <f>12+10+9</f>
        <v>31</v>
      </c>
      <c r="P130" s="96">
        <f t="shared" si="45"/>
        <v>385</v>
      </c>
      <c r="Q130" s="97">
        <f t="shared" si="42"/>
        <v>159.33333333333334</v>
      </c>
      <c r="R130" s="256"/>
      <c r="S130" s="201">
        <f>48+12</f>
        <v>60</v>
      </c>
      <c r="T130" s="201">
        <f>22</f>
        <v>22</v>
      </c>
      <c r="U130" s="201">
        <f>18+6+4</f>
        <v>28</v>
      </c>
      <c r="V130" s="201">
        <f>23+7+1</f>
        <v>31</v>
      </c>
      <c r="W130" s="201">
        <f>31+5+3</f>
        <v>39</v>
      </c>
      <c r="X130" s="201">
        <f>29+2</f>
        <v>31</v>
      </c>
      <c r="Y130" s="215">
        <f t="shared" si="50"/>
        <v>0</v>
      </c>
      <c r="Z130" s="152"/>
      <c r="AA130" s="96">
        <f>AM130+S130+T130+U130+V130+W130+X130+Y130</f>
        <v>211</v>
      </c>
      <c r="AB130" s="97">
        <f>IF(C130=2017, AA130/3,AA130)+Z130</f>
        <v>211</v>
      </c>
      <c r="AC130" s="290"/>
      <c r="AD130" s="290"/>
      <c r="AE130" s="50"/>
      <c r="AF130" s="50"/>
      <c r="AG130" s="50"/>
      <c r="AH130" s="50"/>
      <c r="AI130" s="120"/>
      <c r="AJ130" s="96">
        <f>SUM(AE130:AH130)</f>
        <v>0</v>
      </c>
      <c r="AK130" s="97">
        <f>IF(C130=2016, AJ130/3,AJ130)+AI130</f>
        <v>0</v>
      </c>
      <c r="AL130" s="22"/>
      <c r="AM130" s="151"/>
      <c r="AN130" s="151"/>
      <c r="AO130" s="151"/>
      <c r="AP130" s="151"/>
      <c r="AQ130" s="151"/>
      <c r="AR130" s="151"/>
      <c r="AT130" s="95"/>
      <c r="AU130" s="96">
        <f>SUM(AM130:AS130)</f>
        <v>0</v>
      </c>
      <c r="AV130" s="97">
        <f>IF(C130=2015, AU130/3,AU130)+AT130</f>
        <v>0</v>
      </c>
    </row>
    <row r="131" spans="1:67" x14ac:dyDescent="0.25">
      <c r="A131" s="11" t="s">
        <v>993</v>
      </c>
      <c r="B131" s="11" t="s">
        <v>994</v>
      </c>
      <c r="C131" s="3">
        <v>2012</v>
      </c>
      <c r="D131" s="1">
        <f t="shared" si="44"/>
        <v>7</v>
      </c>
      <c r="H131" s="290"/>
      <c r="I131" s="267"/>
      <c r="J131" s="267"/>
      <c r="K131" s="267"/>
      <c r="L131" s="267"/>
      <c r="M131" s="267"/>
      <c r="N131" s="267">
        <f t="shared" si="41"/>
        <v>7</v>
      </c>
      <c r="P131" s="96">
        <f t="shared" si="45"/>
        <v>7</v>
      </c>
      <c r="Q131" s="97">
        <f t="shared" si="42"/>
        <v>7</v>
      </c>
      <c r="R131" s="267"/>
      <c r="S131" s="154">
        <f>21</f>
        <v>21</v>
      </c>
      <c r="Y131" s="215">
        <f t="shared" si="50"/>
        <v>0</v>
      </c>
      <c r="Z131" s="152"/>
      <c r="AA131" s="96">
        <f>S131+T131+U131+V131+W131+X131+Y131</f>
        <v>21</v>
      </c>
      <c r="AB131" s="97">
        <f>IF(C131=2012, AA131/3,AA131)+Z131</f>
        <v>7</v>
      </c>
      <c r="AE131" s="50"/>
      <c r="AF131" s="50"/>
      <c r="AG131" s="50"/>
      <c r="AH131" s="50"/>
      <c r="AI131" s="120"/>
      <c r="AJ131" s="96">
        <f>SUM(AD131:AH131)</f>
        <v>0</v>
      </c>
      <c r="AK131" s="97">
        <f>IF(C131=2011, AJ131/3,AJ131)+AI131</f>
        <v>0</v>
      </c>
      <c r="AL131" s="101"/>
      <c r="AM131" s="151"/>
      <c r="AN131" s="151"/>
      <c r="AO131" s="151"/>
      <c r="AP131" s="151"/>
      <c r="AQ131" s="151"/>
      <c r="AR131" s="151"/>
      <c r="AS131" s="151"/>
      <c r="AT131" s="95"/>
      <c r="AU131" s="96"/>
      <c r="AV131" s="97"/>
    </row>
    <row r="132" spans="1:67" x14ac:dyDescent="0.25">
      <c r="A132" s="11" t="s">
        <v>886</v>
      </c>
      <c r="B132" s="60" t="s">
        <v>63</v>
      </c>
      <c r="C132" s="62">
        <v>2013</v>
      </c>
      <c r="D132" s="1">
        <f t="shared" si="44"/>
        <v>7.666666666666667</v>
      </c>
      <c r="H132" s="290"/>
      <c r="I132" s="267"/>
      <c r="J132" s="267"/>
      <c r="K132" s="267"/>
      <c r="L132" s="267"/>
      <c r="M132" s="267"/>
      <c r="N132" s="267">
        <f t="shared" si="41"/>
        <v>23</v>
      </c>
      <c r="P132" s="96">
        <f t="shared" si="45"/>
        <v>23</v>
      </c>
      <c r="Q132" s="97">
        <f t="shared" si="42"/>
        <v>7.666666666666667</v>
      </c>
      <c r="R132" s="267"/>
      <c r="S132" s="201"/>
      <c r="T132" s="192"/>
      <c r="U132" s="183"/>
      <c r="V132" s="168">
        <f>23</f>
        <v>23</v>
      </c>
      <c r="W132" s="50"/>
      <c r="X132" s="50"/>
      <c r="Y132" s="215">
        <f t="shared" si="50"/>
        <v>0</v>
      </c>
      <c r="Z132" s="152"/>
      <c r="AA132" s="96">
        <f>AM132+S132+T132+U132+V132+W132+X132+Y132</f>
        <v>23</v>
      </c>
      <c r="AB132" s="97">
        <f>IF(C132=2017, AA132/3,AA132)+Z132</f>
        <v>23</v>
      </c>
      <c r="AE132" s="50"/>
      <c r="AF132" s="50"/>
      <c r="AG132" s="50"/>
      <c r="AH132" s="50"/>
      <c r="AI132" s="120"/>
      <c r="AJ132" s="96">
        <f>SUM(AE132:AH132)</f>
        <v>0</v>
      </c>
      <c r="AK132" s="97">
        <f>IF(C132=2016, AJ132/3,AJ132)+AI132</f>
        <v>0</v>
      </c>
      <c r="AL132" s="22"/>
      <c r="AM132" s="151"/>
      <c r="AN132" s="151"/>
      <c r="AO132" s="151"/>
      <c r="AP132" s="151"/>
      <c r="AQ132" s="151"/>
      <c r="AR132" s="151"/>
      <c r="AT132" s="95"/>
      <c r="AU132" s="96"/>
      <c r="AV132" s="97"/>
    </row>
    <row r="133" spans="1:67" x14ac:dyDescent="0.25">
      <c r="A133" s="11" t="s">
        <v>1152</v>
      </c>
      <c r="B133" s="11" t="s">
        <v>697</v>
      </c>
      <c r="C133" s="3">
        <v>2010</v>
      </c>
      <c r="D133" s="1">
        <f t="shared" si="44"/>
        <v>33</v>
      </c>
      <c r="I133" s="261">
        <f>12</f>
        <v>12</v>
      </c>
      <c r="K133" s="241">
        <f>13</f>
        <v>13</v>
      </c>
      <c r="L133" s="231">
        <f>8</f>
        <v>8</v>
      </c>
      <c r="M133" s="231"/>
      <c r="N133" s="267">
        <f t="shared" si="41"/>
        <v>0</v>
      </c>
      <c r="P133" s="96">
        <f t="shared" si="45"/>
        <v>33</v>
      </c>
      <c r="Q133" s="97">
        <f t="shared" si="42"/>
        <v>33</v>
      </c>
      <c r="R133" s="231"/>
      <c r="Y133" s="215"/>
      <c r="Z133" s="152"/>
      <c r="AA133" s="96"/>
      <c r="AB133" s="97"/>
      <c r="AE133" s="50"/>
      <c r="AF133" s="50"/>
      <c r="AG133" s="50"/>
      <c r="AH133" s="50"/>
      <c r="AI133" s="120"/>
      <c r="AJ133" s="96"/>
      <c r="AK133" s="97"/>
      <c r="AL133" s="101"/>
      <c r="AM133" s="151"/>
      <c r="AN133" s="151"/>
      <c r="AO133" s="151"/>
      <c r="AP133" s="151"/>
      <c r="AQ133" s="151"/>
      <c r="AR133" s="151"/>
      <c r="AS133" s="151"/>
      <c r="AT133" s="95"/>
      <c r="AU133" s="96"/>
      <c r="AV133" s="97"/>
    </row>
    <row r="134" spans="1:67" x14ac:dyDescent="0.25">
      <c r="A134" s="11" t="s">
        <v>696</v>
      </c>
      <c r="B134" s="60" t="s">
        <v>697</v>
      </c>
      <c r="C134" s="62"/>
      <c r="D134" s="1">
        <f t="shared" si="44"/>
        <v>40</v>
      </c>
      <c r="J134" s="256"/>
      <c r="K134" s="256"/>
      <c r="L134" s="256"/>
      <c r="M134" s="256"/>
      <c r="N134" s="267">
        <f t="shared" si="41"/>
        <v>40</v>
      </c>
      <c r="P134" s="96">
        <f t="shared" si="45"/>
        <v>40</v>
      </c>
      <c r="Q134" s="97">
        <f t="shared" si="42"/>
        <v>40</v>
      </c>
      <c r="R134" s="256"/>
      <c r="S134" s="201"/>
      <c r="T134" s="192"/>
      <c r="U134" s="187"/>
      <c r="V134" s="187">
        <f>3+3</f>
        <v>6</v>
      </c>
      <c r="W134" s="187"/>
      <c r="X134" s="187">
        <f>23</f>
        <v>23</v>
      </c>
      <c r="Y134" s="215">
        <f>AK134</f>
        <v>11</v>
      </c>
      <c r="Z134" s="120"/>
      <c r="AA134" s="96">
        <f>S134+T134+U134+V134+W134+X134+Y134</f>
        <v>40</v>
      </c>
      <c r="AB134" s="97">
        <f>IF(C134=2012, AA134/3,AA134)+Z134</f>
        <v>40</v>
      </c>
      <c r="AC134" s="22"/>
      <c r="AD134" s="287"/>
      <c r="AE134" s="187">
        <f>11</f>
        <v>11</v>
      </c>
      <c r="AF134" s="187"/>
      <c r="AG134" s="187"/>
      <c r="AH134" s="187"/>
      <c r="AI134" s="120"/>
      <c r="AJ134" s="96">
        <f>SUM(AD134:AH134)</f>
        <v>11</v>
      </c>
      <c r="AK134" s="97">
        <f>IF(C134=2011, AJ134/3,AJ134)+AI134</f>
        <v>11</v>
      </c>
      <c r="AL134" s="22"/>
      <c r="AM134" s="41"/>
      <c r="AN134" s="41"/>
      <c r="AO134" s="41"/>
      <c r="AP134" s="41"/>
      <c r="AQ134" s="41"/>
      <c r="AR134" s="41"/>
      <c r="AT134" s="95"/>
      <c r="AU134" s="96"/>
      <c r="AV134" s="97"/>
    </row>
    <row r="135" spans="1:67" x14ac:dyDescent="0.25">
      <c r="A135" s="11" t="s">
        <v>1141</v>
      </c>
      <c r="B135" s="11" t="s">
        <v>36</v>
      </c>
      <c r="C135" s="62">
        <v>2013</v>
      </c>
      <c r="D135" s="1">
        <f t="shared" si="44"/>
        <v>6.666666666666667</v>
      </c>
      <c r="I135" s="267"/>
      <c r="J135" s="267"/>
      <c r="K135" s="267">
        <f>18+2</f>
        <v>20</v>
      </c>
      <c r="L135" s="267">
        <f>0</f>
        <v>0</v>
      </c>
      <c r="M135" s="267"/>
      <c r="N135" s="267">
        <f t="shared" si="41"/>
        <v>0</v>
      </c>
      <c r="P135" s="96">
        <f t="shared" si="45"/>
        <v>20</v>
      </c>
      <c r="Q135" s="97">
        <f t="shared" si="42"/>
        <v>6.666666666666667</v>
      </c>
      <c r="R135" s="267"/>
      <c r="S135" s="201"/>
      <c r="T135" s="192"/>
      <c r="U135" s="183"/>
      <c r="V135" s="168"/>
      <c r="W135" s="50"/>
      <c r="X135" s="50"/>
      <c r="Y135" s="215"/>
      <c r="Z135" s="152"/>
      <c r="AA135" s="96"/>
      <c r="AB135" s="97"/>
      <c r="AE135" s="50"/>
      <c r="AF135" s="50"/>
      <c r="AG135" s="50"/>
      <c r="AH135" s="50"/>
      <c r="AI135" s="120"/>
      <c r="AJ135" s="96"/>
      <c r="AK135" s="97"/>
      <c r="AL135" s="22"/>
      <c r="AM135" s="151"/>
      <c r="AN135" s="151"/>
      <c r="AO135" s="151"/>
      <c r="AP135" s="151"/>
      <c r="AQ135" s="151"/>
      <c r="AR135" s="151"/>
      <c r="AT135" s="95"/>
      <c r="AU135" s="96"/>
      <c r="AV135" s="97"/>
    </row>
    <row r="136" spans="1:67" x14ac:dyDescent="0.25">
      <c r="A136" s="11" t="s">
        <v>657</v>
      </c>
      <c r="B136" s="60" t="s">
        <v>658</v>
      </c>
      <c r="C136" s="62"/>
      <c r="D136" s="1">
        <f t="shared" si="44"/>
        <v>141</v>
      </c>
      <c r="E136" s="108"/>
      <c r="F136" s="108"/>
      <c r="H136" s="101"/>
      <c r="I136" s="287"/>
      <c r="J136" s="287"/>
      <c r="K136" s="287"/>
      <c r="L136" s="287"/>
      <c r="M136" s="287"/>
      <c r="N136" s="267">
        <f t="shared" si="41"/>
        <v>141</v>
      </c>
      <c r="P136" s="96">
        <f t="shared" si="45"/>
        <v>141</v>
      </c>
      <c r="Q136" s="97">
        <f t="shared" si="42"/>
        <v>141</v>
      </c>
      <c r="R136" s="287"/>
      <c r="S136" s="287"/>
      <c r="T136" s="287"/>
      <c r="U136" s="287"/>
      <c r="V136" s="287"/>
      <c r="W136" s="287"/>
      <c r="X136" s="287"/>
      <c r="Y136" s="215">
        <f t="shared" ref="Y136:Y147" si="51">AK136</f>
        <v>141</v>
      </c>
      <c r="Z136" s="120"/>
      <c r="AA136" s="96">
        <f>S136+T136+U136+V136+W136+X136+Y136</f>
        <v>141</v>
      </c>
      <c r="AB136" s="97">
        <f>IF(C136=2012, AA136/3,AA136)+Z136</f>
        <v>141</v>
      </c>
      <c r="AC136" s="22"/>
      <c r="AD136" s="287"/>
      <c r="AE136" s="50"/>
      <c r="AF136" s="50">
        <f>141</f>
        <v>141</v>
      </c>
      <c r="AG136" s="50"/>
      <c r="AH136" s="50"/>
      <c r="AI136" s="120"/>
      <c r="AJ136" s="96">
        <f>SUM(AD136:AH136)</f>
        <v>141</v>
      </c>
      <c r="AK136" s="97">
        <f>IF(C136=2011, AJ136/3,AJ136)+AI136</f>
        <v>141</v>
      </c>
      <c r="AL136" s="22"/>
      <c r="AM136" s="41"/>
      <c r="AN136" s="41"/>
      <c r="AO136" s="41"/>
      <c r="AP136" s="41"/>
      <c r="AQ136" s="41"/>
      <c r="AR136" s="41"/>
      <c r="AT136" s="95"/>
      <c r="AU136" s="96"/>
      <c r="AV136" s="97"/>
    </row>
    <row r="137" spans="1:67" x14ac:dyDescent="0.25">
      <c r="A137" s="11" t="s">
        <v>784</v>
      </c>
      <c r="B137" s="60" t="s">
        <v>296</v>
      </c>
      <c r="C137" s="62">
        <v>2011</v>
      </c>
      <c r="D137" s="1">
        <f t="shared" si="44"/>
        <v>0</v>
      </c>
      <c r="E137" s="108"/>
      <c r="F137" s="108"/>
      <c r="H137" s="101"/>
      <c r="I137" s="267"/>
      <c r="J137" s="267"/>
      <c r="K137" s="267"/>
      <c r="L137" s="267"/>
      <c r="M137" s="267"/>
      <c r="N137" s="267">
        <f t="shared" si="41"/>
        <v>0</v>
      </c>
      <c r="P137" s="96">
        <f t="shared" si="45"/>
        <v>0</v>
      </c>
      <c r="Q137" s="97">
        <f t="shared" si="42"/>
        <v>0</v>
      </c>
      <c r="R137" s="267"/>
      <c r="S137" s="201"/>
      <c r="T137" s="192"/>
      <c r="U137" s="183"/>
      <c r="V137" s="168"/>
      <c r="W137" s="50"/>
      <c r="X137" s="50">
        <f>0</f>
        <v>0</v>
      </c>
      <c r="Y137" s="215">
        <f t="shared" si="51"/>
        <v>0</v>
      </c>
      <c r="Z137" s="120"/>
      <c r="AA137" s="96">
        <f>S137+T137+U137+V137+W137+X137+Y137</f>
        <v>0</v>
      </c>
      <c r="AB137" s="97">
        <f>IF(C137=2012, AA137/3,AA137)+Z137</f>
        <v>0</v>
      </c>
      <c r="AC137" s="22"/>
      <c r="AD137" s="287"/>
      <c r="AE137" s="50"/>
      <c r="AF137" s="50"/>
      <c r="AG137" s="50"/>
      <c r="AH137" s="50"/>
      <c r="AI137" s="120"/>
      <c r="AJ137" s="96">
        <f>SUM(AD137:AH137)</f>
        <v>0</v>
      </c>
      <c r="AK137" s="97"/>
      <c r="AL137" s="22"/>
      <c r="AM137" s="41"/>
      <c r="AN137" s="41"/>
      <c r="AO137" s="41"/>
      <c r="AP137" s="41"/>
      <c r="AQ137" s="41"/>
      <c r="AR137" s="41"/>
      <c r="AT137" s="95"/>
      <c r="AU137" s="96"/>
      <c r="AV137" s="97"/>
    </row>
    <row r="138" spans="1:67" x14ac:dyDescent="0.25">
      <c r="A138" s="11" t="s">
        <v>126</v>
      </c>
      <c r="B138" s="60" t="s">
        <v>64</v>
      </c>
      <c r="C138" s="62">
        <v>2013</v>
      </c>
      <c r="D138" s="1">
        <f t="shared" si="44"/>
        <v>7.666666666666667</v>
      </c>
      <c r="H138" s="290"/>
      <c r="N138" s="267">
        <f t="shared" si="41"/>
        <v>23</v>
      </c>
      <c r="P138" s="96">
        <f t="shared" si="45"/>
        <v>23</v>
      </c>
      <c r="Q138" s="97">
        <f t="shared" si="42"/>
        <v>7.666666666666667</v>
      </c>
      <c r="S138" s="201"/>
      <c r="T138" s="201"/>
      <c r="U138" s="201"/>
      <c r="V138" s="201"/>
      <c r="W138" s="201"/>
      <c r="X138" s="201"/>
      <c r="Y138" s="215">
        <f t="shared" si="51"/>
        <v>23</v>
      </c>
      <c r="Z138" s="120"/>
      <c r="AA138" s="96">
        <f>AM138+S138+T138+U138+V138+W138+X138+Y138</f>
        <v>23</v>
      </c>
      <c r="AB138" s="97">
        <f>IF(C138=2017, AA138/3,AA138)+Z138</f>
        <v>23</v>
      </c>
      <c r="AC138" s="269"/>
      <c r="AD138" s="269"/>
      <c r="AE138" s="50"/>
      <c r="AF138" s="50"/>
      <c r="AG138" s="50"/>
      <c r="AH138" s="50">
        <f>AV138</f>
        <v>23</v>
      </c>
      <c r="AI138" s="120"/>
      <c r="AJ138" s="96">
        <f>SUM(AE138:AH138)</f>
        <v>23</v>
      </c>
      <c r="AK138" s="97">
        <f>IF(C138=2016, AJ138/3,AJ138)+AI138</f>
        <v>23</v>
      </c>
      <c r="AL138" s="22"/>
      <c r="AM138" s="41"/>
      <c r="AN138" s="41">
        <v>20</v>
      </c>
      <c r="AO138" s="41">
        <f>3</f>
        <v>3</v>
      </c>
      <c r="AP138" s="41"/>
      <c r="AQ138" s="41"/>
      <c r="AR138" s="41"/>
      <c r="AT138" s="95"/>
      <c r="AU138" s="96">
        <f>SUM(AM138:AS138)</f>
        <v>23</v>
      </c>
      <c r="AV138" s="97">
        <f>IF(C138=2015, AU138/3,AU138)+AT138</f>
        <v>23</v>
      </c>
    </row>
    <row r="139" spans="1:67" x14ac:dyDescent="0.25">
      <c r="A139" s="11" t="s">
        <v>665</v>
      </c>
      <c r="B139" s="60" t="s">
        <v>658</v>
      </c>
      <c r="C139" s="62"/>
      <c r="D139" s="1">
        <f t="shared" si="44"/>
        <v>39</v>
      </c>
      <c r="H139" s="290"/>
      <c r="I139" s="108"/>
      <c r="J139" s="108"/>
      <c r="K139" s="108"/>
      <c r="L139" s="108"/>
      <c r="M139" s="108"/>
      <c r="N139" s="267">
        <f t="shared" si="41"/>
        <v>39</v>
      </c>
      <c r="P139" s="96">
        <f t="shared" si="45"/>
        <v>39</v>
      </c>
      <c r="Q139" s="97">
        <f t="shared" si="42"/>
        <v>39</v>
      </c>
      <c r="R139" s="108"/>
      <c r="S139" s="201"/>
      <c r="T139" s="192"/>
      <c r="U139" s="187"/>
      <c r="V139" s="187"/>
      <c r="W139" s="187"/>
      <c r="X139" s="187"/>
      <c r="Y139" s="215">
        <f t="shared" si="51"/>
        <v>39</v>
      </c>
      <c r="Z139" s="120"/>
      <c r="AA139" s="96">
        <f>S139+T139+U139+V139+W139+X139+Y139</f>
        <v>39</v>
      </c>
      <c r="AB139" s="97">
        <f>IF(C139=2012, AA139/3,AA139)+Z139</f>
        <v>39</v>
      </c>
      <c r="AC139" s="22"/>
      <c r="AD139" s="287"/>
      <c r="AE139" s="187"/>
      <c r="AF139" s="187">
        <f>39</f>
        <v>39</v>
      </c>
      <c r="AG139" s="187"/>
      <c r="AH139" s="187"/>
      <c r="AI139" s="120"/>
      <c r="AJ139" s="96">
        <f>SUM(AD139:AH139)</f>
        <v>39</v>
      </c>
      <c r="AK139" s="97">
        <f>IF(C139=2011, AJ139/3,AJ139)+AI139</f>
        <v>39</v>
      </c>
      <c r="AL139" s="22"/>
      <c r="AM139" s="41"/>
      <c r="AN139" s="41"/>
      <c r="AO139" s="41"/>
      <c r="AP139" s="41"/>
      <c r="AQ139" s="41"/>
      <c r="AR139" s="41"/>
      <c r="AT139" s="95"/>
      <c r="AU139" s="96"/>
      <c r="AV139" s="97"/>
    </row>
    <row r="140" spans="1:67" x14ac:dyDescent="0.25">
      <c r="A140" s="45" t="s">
        <v>992</v>
      </c>
      <c r="B140" s="66" t="s">
        <v>86</v>
      </c>
      <c r="C140" s="46">
        <v>2013</v>
      </c>
      <c r="D140" s="1">
        <f t="shared" si="44"/>
        <v>9.3333333333333339</v>
      </c>
      <c r="H140" s="280"/>
      <c r="I140" s="154"/>
      <c r="J140" s="154"/>
      <c r="K140" s="154"/>
      <c r="L140" s="154"/>
      <c r="M140" s="154"/>
      <c r="N140" s="267">
        <f t="shared" si="41"/>
        <v>28</v>
      </c>
      <c r="P140" s="96">
        <f t="shared" si="45"/>
        <v>28</v>
      </c>
      <c r="Q140" s="97">
        <f t="shared" si="42"/>
        <v>9.3333333333333339</v>
      </c>
      <c r="R140" s="154"/>
      <c r="S140" s="154">
        <f>26+2</f>
        <v>28</v>
      </c>
      <c r="Y140" s="215">
        <f t="shared" si="51"/>
        <v>0</v>
      </c>
      <c r="Z140" s="152"/>
      <c r="AA140" s="96">
        <f>AM140+S140+T140+U140+V140+W140+X140+Y140</f>
        <v>28</v>
      </c>
      <c r="AB140" s="97">
        <f>IF(C140=2017, AA140/3,AA140)+Z140</f>
        <v>28</v>
      </c>
      <c r="AE140" s="50"/>
      <c r="AF140" s="50"/>
      <c r="AG140" s="50"/>
      <c r="AH140" s="50"/>
      <c r="AI140" s="120"/>
      <c r="AJ140" s="96">
        <f>SUM(AE140:AH140)</f>
        <v>0</v>
      </c>
      <c r="AK140" s="97">
        <f>IF(C140=2016, AJ140/3,AJ140)+AI140</f>
        <v>0</v>
      </c>
      <c r="AL140" s="101"/>
      <c r="AM140" s="151"/>
      <c r="AN140" s="151"/>
      <c r="AO140" s="151"/>
      <c r="AP140" s="151"/>
      <c r="AQ140" s="151"/>
      <c r="AR140" s="151"/>
      <c r="AT140" s="95"/>
      <c r="AU140" s="96"/>
      <c r="AV140" s="97"/>
    </row>
    <row r="141" spans="1:67" x14ac:dyDescent="0.25">
      <c r="A141" s="45" t="s">
        <v>960</v>
      </c>
      <c r="B141" s="66" t="s">
        <v>938</v>
      </c>
      <c r="C141" s="46">
        <v>2012</v>
      </c>
      <c r="D141" s="1">
        <f t="shared" si="44"/>
        <v>14.666666666666666</v>
      </c>
      <c r="H141" s="280"/>
      <c r="I141" s="287"/>
      <c r="J141" s="287"/>
      <c r="K141" s="287"/>
      <c r="L141" s="287"/>
      <c r="M141" s="287"/>
      <c r="N141" s="267">
        <f t="shared" si="41"/>
        <v>14.666666666666666</v>
      </c>
      <c r="P141" s="96">
        <f t="shared" si="45"/>
        <v>14.666666666666666</v>
      </c>
      <c r="Q141" s="97">
        <f t="shared" si="42"/>
        <v>14.666666666666666</v>
      </c>
      <c r="R141" s="287"/>
      <c r="T141" s="154">
        <f>44</f>
        <v>44</v>
      </c>
      <c r="Y141" s="215">
        <f t="shared" si="51"/>
        <v>0</v>
      </c>
      <c r="Z141" s="152"/>
      <c r="AA141" s="96">
        <f t="shared" ref="AA141:AA146" si="52">S141+T141+U141+V141+W141+X141+Y141</f>
        <v>44</v>
      </c>
      <c r="AB141" s="97">
        <f t="shared" ref="AB141:AB146" si="53">IF(C141=2012, AA141/3,AA141)+Z141</f>
        <v>14.666666666666666</v>
      </c>
      <c r="AE141" s="50"/>
      <c r="AF141" s="50"/>
      <c r="AG141" s="50"/>
      <c r="AH141" s="50"/>
      <c r="AI141" s="120"/>
      <c r="AJ141" s="96">
        <f t="shared" ref="AJ141:AJ146" si="54">SUM(AD141:AH141)</f>
        <v>0</v>
      </c>
      <c r="AK141" s="97">
        <f t="shared" ref="AK141:AK146" si="55">IF(C141=2011, AJ141/3,AJ141)+AI141</f>
        <v>0</v>
      </c>
      <c r="AL141" s="101"/>
      <c r="AM141" s="151"/>
      <c r="AN141" s="151"/>
      <c r="AO141" s="151"/>
      <c r="AP141" s="151"/>
      <c r="AQ141" s="151"/>
      <c r="AR141" s="151"/>
      <c r="AT141" s="95"/>
      <c r="AU141" s="96"/>
      <c r="AV141" s="97"/>
    </row>
    <row r="142" spans="1:67" x14ac:dyDescent="0.25">
      <c r="A142" s="71" t="s">
        <v>248</v>
      </c>
      <c r="B142" s="71" t="s">
        <v>231</v>
      </c>
      <c r="C142" s="72">
        <v>2010</v>
      </c>
      <c r="D142" s="1">
        <f t="shared" si="44"/>
        <v>19.666666666666668</v>
      </c>
      <c r="E142" s="287"/>
      <c r="F142" s="287"/>
      <c r="H142" s="280"/>
      <c r="I142" s="287"/>
      <c r="J142" s="287"/>
      <c r="K142" s="287"/>
      <c r="L142" s="287"/>
      <c r="M142" s="287"/>
      <c r="N142" s="267">
        <f t="shared" si="41"/>
        <v>19.666666666666668</v>
      </c>
      <c r="P142" s="96">
        <f t="shared" si="45"/>
        <v>19.666666666666668</v>
      </c>
      <c r="Q142" s="97">
        <f t="shared" si="42"/>
        <v>19.666666666666668</v>
      </c>
      <c r="R142" s="287"/>
      <c r="S142" s="287"/>
      <c r="T142" s="287"/>
      <c r="U142" s="287"/>
      <c r="V142" s="287"/>
      <c r="W142" s="287"/>
      <c r="X142" s="287">
        <f>0</f>
        <v>0</v>
      </c>
      <c r="Y142" s="215">
        <f t="shared" si="51"/>
        <v>19.666666666666668</v>
      </c>
      <c r="Z142" s="120"/>
      <c r="AA142" s="96">
        <f t="shared" si="52"/>
        <v>19.666666666666668</v>
      </c>
      <c r="AB142" s="97">
        <f t="shared" si="53"/>
        <v>19.666666666666668</v>
      </c>
      <c r="AC142" s="22"/>
      <c r="AD142" s="287"/>
      <c r="AE142" s="50"/>
      <c r="AF142" s="50"/>
      <c r="AG142" s="50"/>
      <c r="AH142" s="50">
        <f>AV142</f>
        <v>19.666666666666668</v>
      </c>
      <c r="AI142" s="120"/>
      <c r="AJ142" s="96">
        <f t="shared" si="54"/>
        <v>19.666666666666668</v>
      </c>
      <c r="AK142" s="97">
        <f t="shared" si="55"/>
        <v>19.666666666666668</v>
      </c>
      <c r="AL142" s="22"/>
      <c r="AM142" s="287"/>
      <c r="AN142" s="287"/>
      <c r="AO142" s="287">
        <f>18</f>
        <v>18</v>
      </c>
      <c r="AP142" s="287"/>
      <c r="AQ142" s="287"/>
      <c r="AR142" s="287"/>
      <c r="AS142" s="285">
        <f>41</f>
        <v>41</v>
      </c>
      <c r="AT142" s="95"/>
      <c r="AU142" s="96">
        <f>SUM(AM142:AS142)</f>
        <v>59</v>
      </c>
      <c r="AV142" s="97">
        <f>IF(C142=2010, AU142/3,AU142)+AT142</f>
        <v>19.666666666666668</v>
      </c>
    </row>
    <row r="143" spans="1:67" x14ac:dyDescent="0.25">
      <c r="A143" s="45" t="s">
        <v>948</v>
      </c>
      <c r="B143" s="66" t="s">
        <v>938</v>
      </c>
      <c r="C143" s="46">
        <v>2012</v>
      </c>
      <c r="D143" s="1">
        <f t="shared" si="44"/>
        <v>64.666666666666671</v>
      </c>
      <c r="E143" s="283">
        <f>54+7</f>
        <v>61</v>
      </c>
      <c r="H143" s="290"/>
      <c r="I143" s="287"/>
      <c r="J143" s="287"/>
      <c r="K143" s="287"/>
      <c r="L143" s="287"/>
      <c r="M143" s="287"/>
      <c r="N143" s="267">
        <f t="shared" si="41"/>
        <v>3.6666666666666665</v>
      </c>
      <c r="P143" s="96">
        <f t="shared" si="45"/>
        <v>3.6666666666666665</v>
      </c>
      <c r="Q143" s="97">
        <f t="shared" si="42"/>
        <v>3.6666666666666665</v>
      </c>
      <c r="R143" s="287"/>
      <c r="T143" s="154">
        <f>9+2</f>
        <v>11</v>
      </c>
      <c r="Y143" s="215">
        <f t="shared" si="51"/>
        <v>0</v>
      </c>
      <c r="Z143" s="152"/>
      <c r="AA143" s="96">
        <f t="shared" si="52"/>
        <v>11</v>
      </c>
      <c r="AB143" s="97">
        <f t="shared" si="53"/>
        <v>3.6666666666666665</v>
      </c>
      <c r="AE143" s="50"/>
      <c r="AF143" s="50"/>
      <c r="AG143" s="50"/>
      <c r="AH143" s="50"/>
      <c r="AI143" s="120"/>
      <c r="AJ143" s="96">
        <f t="shared" si="54"/>
        <v>0</v>
      </c>
      <c r="AK143" s="97">
        <f t="shared" si="55"/>
        <v>0</v>
      </c>
      <c r="AL143" s="101"/>
      <c r="AM143" s="151"/>
      <c r="AN143" s="151"/>
      <c r="AO143" s="151"/>
      <c r="AP143" s="151"/>
      <c r="AQ143" s="151"/>
      <c r="AR143" s="151"/>
      <c r="AT143" s="95"/>
      <c r="AU143" s="96"/>
      <c r="AV143" s="97"/>
    </row>
    <row r="144" spans="1:67" x14ac:dyDescent="0.25">
      <c r="A144" s="71" t="s">
        <v>548</v>
      </c>
      <c r="B144" s="66" t="s">
        <v>64</v>
      </c>
      <c r="C144" s="72">
        <v>2011</v>
      </c>
      <c r="D144" s="1">
        <f t="shared" ref="D144:D172" si="56">Q144+E144</f>
        <v>64.666666666666671</v>
      </c>
      <c r="E144" s="287"/>
      <c r="F144" s="287"/>
      <c r="I144" s="287"/>
      <c r="J144" s="287"/>
      <c r="K144" s="287"/>
      <c r="L144" s="287"/>
      <c r="M144" s="287"/>
      <c r="N144" s="267">
        <f t="shared" si="41"/>
        <v>64.666666666666671</v>
      </c>
      <c r="P144" s="96">
        <f t="shared" ref="P144:P172" si="57">I144+J144+K144+L144+N144</f>
        <v>64.666666666666671</v>
      </c>
      <c r="Q144" s="97">
        <f t="shared" si="42"/>
        <v>64.666666666666671</v>
      </c>
      <c r="R144" s="287"/>
      <c r="S144" s="201"/>
      <c r="T144" s="192"/>
      <c r="U144" s="183"/>
      <c r="V144" s="168"/>
      <c r="W144" s="50">
        <f>0+3+18</f>
        <v>21</v>
      </c>
      <c r="X144" s="50">
        <f>0+9+6</f>
        <v>15</v>
      </c>
      <c r="Y144" s="215">
        <f t="shared" si="51"/>
        <v>28.666666666666668</v>
      </c>
      <c r="Z144" s="120"/>
      <c r="AA144" s="96">
        <f t="shared" si="52"/>
        <v>64.666666666666671</v>
      </c>
      <c r="AB144" s="97">
        <f t="shared" si="53"/>
        <v>64.666666666666671</v>
      </c>
      <c r="AC144" s="267"/>
      <c r="AD144" s="267"/>
      <c r="AE144" s="50"/>
      <c r="AF144" s="50">
        <f>50</f>
        <v>50</v>
      </c>
      <c r="AG144" s="50">
        <f>36</f>
        <v>36</v>
      </c>
      <c r="AH144" s="50"/>
      <c r="AI144" s="120"/>
      <c r="AJ144" s="96">
        <f t="shared" si="54"/>
        <v>86</v>
      </c>
      <c r="AK144" s="97">
        <f t="shared" si="55"/>
        <v>28.666666666666668</v>
      </c>
      <c r="AL144" s="101"/>
      <c r="AM144" s="41"/>
      <c r="AN144" s="41"/>
      <c r="AO144" s="41"/>
      <c r="AP144" s="41"/>
      <c r="AQ144" s="41"/>
      <c r="AR144" s="41"/>
      <c r="AT144" s="95"/>
      <c r="AU144" s="96"/>
      <c r="AV144" s="97"/>
    </row>
    <row r="145" spans="1:67" x14ac:dyDescent="0.25">
      <c r="A145" s="71" t="s">
        <v>250</v>
      </c>
      <c r="B145" s="71" t="s">
        <v>231</v>
      </c>
      <c r="C145" s="72">
        <v>2012</v>
      </c>
      <c r="D145" s="1">
        <f t="shared" si="56"/>
        <v>0</v>
      </c>
      <c r="E145" s="287"/>
      <c r="F145" s="287"/>
      <c r="J145" s="252"/>
      <c r="K145" s="252"/>
      <c r="L145" s="252"/>
      <c r="M145" s="252"/>
      <c r="N145" s="267">
        <f t="shared" si="41"/>
        <v>0</v>
      </c>
      <c r="P145" s="96">
        <f t="shared" si="57"/>
        <v>0</v>
      </c>
      <c r="Q145" s="97">
        <f t="shared" si="42"/>
        <v>0</v>
      </c>
      <c r="R145" s="252"/>
      <c r="S145" s="201"/>
      <c r="T145" s="192"/>
      <c r="U145" s="183"/>
      <c r="V145" s="168"/>
      <c r="W145" s="50"/>
      <c r="X145" s="50"/>
      <c r="Y145" s="215">
        <f t="shared" si="51"/>
        <v>0</v>
      </c>
      <c r="Z145" s="120"/>
      <c r="AA145" s="96">
        <f t="shared" si="52"/>
        <v>0</v>
      </c>
      <c r="AB145" s="97">
        <f t="shared" si="53"/>
        <v>0</v>
      </c>
      <c r="AC145" s="290"/>
      <c r="AD145" s="290"/>
      <c r="AE145" s="50">
        <f>0</f>
        <v>0</v>
      </c>
      <c r="AF145" s="50"/>
      <c r="AG145" s="50"/>
      <c r="AH145" s="50">
        <f>AV145</f>
        <v>0</v>
      </c>
      <c r="AI145" s="120"/>
      <c r="AJ145" s="96">
        <f t="shared" si="54"/>
        <v>0</v>
      </c>
      <c r="AK145" s="97">
        <f t="shared" si="55"/>
        <v>0</v>
      </c>
      <c r="AL145" s="22"/>
      <c r="AM145" s="287"/>
      <c r="AN145" s="287"/>
      <c r="AO145" s="287">
        <f>0</f>
        <v>0</v>
      </c>
      <c r="AP145" s="287"/>
      <c r="AQ145" s="287"/>
      <c r="AR145" s="287"/>
      <c r="AS145" s="285"/>
      <c r="AT145" s="95"/>
      <c r="AU145" s="96">
        <f>SUM(AM145:AS145)</f>
        <v>0</v>
      </c>
      <c r="AV145" s="97">
        <f>IF(C145=2015, AU145/3,AU145)+AT145</f>
        <v>0</v>
      </c>
    </row>
    <row r="146" spans="1:67" x14ac:dyDescent="0.25">
      <c r="A146" s="71" t="s">
        <v>324</v>
      </c>
      <c r="B146" s="71" t="s">
        <v>231</v>
      </c>
      <c r="C146" s="72">
        <v>2011</v>
      </c>
      <c r="D146" s="1">
        <f t="shared" si="56"/>
        <v>51.333333333333336</v>
      </c>
      <c r="J146" s="256"/>
      <c r="K146" s="256"/>
      <c r="L146" s="256"/>
      <c r="M146" s="256"/>
      <c r="N146" s="267">
        <f t="shared" si="41"/>
        <v>51.333333333333336</v>
      </c>
      <c r="P146" s="96">
        <f t="shared" si="57"/>
        <v>51.333333333333336</v>
      </c>
      <c r="Q146" s="97">
        <f t="shared" si="42"/>
        <v>51.333333333333336</v>
      </c>
      <c r="R146" s="256"/>
      <c r="S146" s="287"/>
      <c r="T146" s="287"/>
      <c r="U146" s="287"/>
      <c r="V146" s="287"/>
      <c r="W146" s="287"/>
      <c r="X146" s="287"/>
      <c r="Y146" s="215">
        <f t="shared" si="51"/>
        <v>51.333333333333336</v>
      </c>
      <c r="Z146" s="120"/>
      <c r="AA146" s="96">
        <f t="shared" si="52"/>
        <v>51.333333333333336</v>
      </c>
      <c r="AB146" s="97">
        <f t="shared" si="53"/>
        <v>51.333333333333336</v>
      </c>
      <c r="AC146" s="287"/>
      <c r="AD146" s="287"/>
      <c r="AE146" s="50"/>
      <c r="AF146" s="50"/>
      <c r="AG146" s="50"/>
      <c r="AH146" s="50">
        <f>AV146</f>
        <v>154</v>
      </c>
      <c r="AI146" s="120"/>
      <c r="AJ146" s="96">
        <f t="shared" si="54"/>
        <v>154</v>
      </c>
      <c r="AK146" s="97">
        <f t="shared" si="55"/>
        <v>51.333333333333336</v>
      </c>
      <c r="AL146" s="22"/>
      <c r="AM146" s="287"/>
      <c r="AN146" s="287"/>
      <c r="AO146" s="287"/>
      <c r="AP146" s="287">
        <f>75</f>
        <v>75</v>
      </c>
      <c r="AQ146" s="287"/>
      <c r="AR146" s="287">
        <f>51</f>
        <v>51</v>
      </c>
      <c r="AS146" s="285">
        <f>28</f>
        <v>28</v>
      </c>
      <c r="AT146" s="95"/>
      <c r="AU146" s="96">
        <f>SUM(AM146:AS146)</f>
        <v>154</v>
      </c>
      <c r="AV146" s="97">
        <f>IF(C146=2015, AU146/3,AU146)+AT146</f>
        <v>154</v>
      </c>
    </row>
    <row r="147" spans="1:67" x14ac:dyDescent="0.25">
      <c r="A147" s="71" t="s">
        <v>555</v>
      </c>
      <c r="B147" s="71" t="s">
        <v>64</v>
      </c>
      <c r="C147" s="72">
        <v>2013</v>
      </c>
      <c r="D147" s="1">
        <f t="shared" si="56"/>
        <v>0</v>
      </c>
      <c r="E147" s="287"/>
      <c r="F147" s="287"/>
      <c r="H147" s="280"/>
      <c r="I147" s="267"/>
      <c r="J147" s="267"/>
      <c r="K147" s="267"/>
      <c r="L147" s="267"/>
      <c r="M147" s="267"/>
      <c r="N147" s="267">
        <f t="shared" si="41"/>
        <v>0</v>
      </c>
      <c r="P147" s="96">
        <f t="shared" si="57"/>
        <v>0</v>
      </c>
      <c r="Q147" s="97">
        <f t="shared" si="42"/>
        <v>0</v>
      </c>
      <c r="R147" s="267"/>
      <c r="S147" s="201"/>
      <c r="T147" s="192"/>
      <c r="U147" s="183"/>
      <c r="V147" s="168"/>
      <c r="W147" s="50"/>
      <c r="X147" s="50"/>
      <c r="Y147" s="215">
        <f t="shared" si="51"/>
        <v>0</v>
      </c>
      <c r="Z147" s="152"/>
      <c r="AA147" s="96">
        <f>AM147+S147+T147+U147+V147+W147+X147+Y147</f>
        <v>0</v>
      </c>
      <c r="AB147" s="97">
        <f>IF(C147=2017, AA147/3,AA147)+Z147</f>
        <v>0</v>
      </c>
      <c r="AC147" s="269"/>
      <c r="AD147" s="269"/>
      <c r="AE147" s="50"/>
      <c r="AF147" s="50"/>
      <c r="AG147" s="50">
        <f>0</f>
        <v>0</v>
      </c>
      <c r="AH147" s="50"/>
      <c r="AI147" s="120"/>
      <c r="AJ147" s="96">
        <f>SUM(AE147:AH147)</f>
        <v>0</v>
      </c>
      <c r="AK147" s="97">
        <f>IF(C147=2016, AJ147/3,AJ147)+AI147</f>
        <v>0</v>
      </c>
      <c r="AL147" s="22"/>
      <c r="AM147" s="287"/>
      <c r="AN147" s="287"/>
      <c r="AO147" s="287"/>
      <c r="AP147" s="287"/>
      <c r="AQ147" s="287"/>
      <c r="AR147" s="287"/>
      <c r="AS147" s="285"/>
      <c r="AT147" s="95"/>
      <c r="AU147" s="96">
        <f>SUM(AM147:AS147)</f>
        <v>0</v>
      </c>
      <c r="AV147" s="97">
        <f>IF(C147=2015, AU147/3,AU147)+AT147</f>
        <v>0</v>
      </c>
    </row>
    <row r="148" spans="1:67" x14ac:dyDescent="0.25">
      <c r="A148" s="45" t="s">
        <v>1065</v>
      </c>
      <c r="B148" s="66" t="s">
        <v>994</v>
      </c>
      <c r="C148" s="46">
        <v>2011</v>
      </c>
      <c r="D148" s="1">
        <f t="shared" si="56"/>
        <v>0</v>
      </c>
      <c r="J148" s="252"/>
      <c r="K148" s="252"/>
      <c r="L148" s="252"/>
      <c r="M148" s="252">
        <f>9</f>
        <v>9</v>
      </c>
      <c r="N148" s="267">
        <f t="shared" si="41"/>
        <v>0</v>
      </c>
      <c r="P148" s="96">
        <f t="shared" si="57"/>
        <v>0</v>
      </c>
      <c r="Q148" s="97">
        <f t="shared" si="42"/>
        <v>0</v>
      </c>
      <c r="R148" s="252"/>
      <c r="Y148" s="215"/>
      <c r="Z148" s="152"/>
      <c r="AA148" s="96"/>
      <c r="AB148" s="97"/>
      <c r="AE148" s="50"/>
      <c r="AF148" s="50"/>
      <c r="AG148" s="50"/>
      <c r="AH148" s="50"/>
      <c r="AI148" s="120"/>
      <c r="AJ148" s="96"/>
      <c r="AK148" s="97"/>
      <c r="AL148" s="101"/>
      <c r="AM148" s="151"/>
      <c r="AN148" s="151"/>
      <c r="AO148" s="151"/>
      <c r="AP148" s="151"/>
      <c r="AQ148" s="151"/>
      <c r="AR148" s="151"/>
      <c r="AT148" s="95"/>
      <c r="AU148" s="96"/>
      <c r="AV148" s="97"/>
    </row>
    <row r="149" spans="1:67" x14ac:dyDescent="0.25">
      <c r="A149" s="71" t="s">
        <v>608</v>
      </c>
      <c r="B149" s="71" t="s">
        <v>63</v>
      </c>
      <c r="C149" s="72">
        <v>2013</v>
      </c>
      <c r="D149" s="1">
        <f t="shared" si="56"/>
        <v>129</v>
      </c>
      <c r="E149" s="283">
        <f>0+9</f>
        <v>9</v>
      </c>
      <c r="H149" s="280"/>
      <c r="I149" s="261">
        <f>58+18</f>
        <v>76</v>
      </c>
      <c r="J149" s="256">
        <f>18</f>
        <v>18</v>
      </c>
      <c r="K149" s="256">
        <f>54</f>
        <v>54</v>
      </c>
      <c r="L149" s="256">
        <f>0+15</f>
        <v>15</v>
      </c>
      <c r="M149" s="256"/>
      <c r="N149" s="267">
        <f t="shared" si="41"/>
        <v>197</v>
      </c>
      <c r="P149" s="96">
        <f t="shared" si="57"/>
        <v>360</v>
      </c>
      <c r="Q149" s="97">
        <f t="shared" si="42"/>
        <v>120</v>
      </c>
      <c r="R149" s="256"/>
      <c r="S149" s="201">
        <f>14+14</f>
        <v>28</v>
      </c>
      <c r="T149" s="192">
        <f>22+18</f>
        <v>40</v>
      </c>
      <c r="U149" s="183">
        <f>36+10</f>
        <v>46</v>
      </c>
      <c r="V149" s="168">
        <f>28+2+3</f>
        <v>33</v>
      </c>
      <c r="W149" s="50">
        <f>22+4+3+6</f>
        <v>35</v>
      </c>
      <c r="X149" s="50">
        <f>0+2</f>
        <v>2</v>
      </c>
      <c r="Y149" s="215">
        <f t="shared" ref="Y149:Y158" si="58">AK149</f>
        <v>13</v>
      </c>
      <c r="Z149" s="152"/>
      <c r="AA149" s="96">
        <f>AM149+S149+T149+U149+V149+W149+X149+Y149</f>
        <v>197</v>
      </c>
      <c r="AB149" s="97">
        <f>IF(C149=2017, AA149/3,AA149)+Z149</f>
        <v>197</v>
      </c>
      <c r="AC149" s="290"/>
      <c r="AD149" s="290"/>
      <c r="AE149" s="50"/>
      <c r="AF149" s="50">
        <f>13</f>
        <v>13</v>
      </c>
      <c r="AG149" s="50"/>
      <c r="AH149" s="50"/>
      <c r="AI149" s="120"/>
      <c r="AJ149" s="96">
        <f>SUM(AE149:AH149)</f>
        <v>13</v>
      </c>
      <c r="AK149" s="97">
        <f>IF(C149=2016, AJ149/3,AJ149)+AI149</f>
        <v>13</v>
      </c>
      <c r="AL149" s="22"/>
      <c r="AM149" s="287"/>
      <c r="AN149" s="287"/>
      <c r="AO149" s="287"/>
      <c r="AP149" s="287"/>
      <c r="AQ149" s="287"/>
      <c r="AR149" s="287"/>
      <c r="AS149" s="285"/>
      <c r="AT149" s="95"/>
      <c r="AU149" s="96">
        <f>SUM(AM149:AS149)</f>
        <v>0</v>
      </c>
      <c r="AV149" s="97">
        <f>IF(C149=2015, AU149/3,AU149)+AT149</f>
        <v>0</v>
      </c>
    </row>
    <row r="150" spans="1:67" x14ac:dyDescent="0.25">
      <c r="A150" s="11" t="s">
        <v>778</v>
      </c>
      <c r="B150" s="60" t="s">
        <v>296</v>
      </c>
      <c r="C150" s="62">
        <v>2010</v>
      </c>
      <c r="D150" s="1">
        <f t="shared" si="56"/>
        <v>16</v>
      </c>
      <c r="I150" s="267"/>
      <c r="J150" s="267"/>
      <c r="K150" s="267"/>
      <c r="L150" s="267"/>
      <c r="M150" s="267"/>
      <c r="N150" s="267">
        <f t="shared" si="41"/>
        <v>16</v>
      </c>
      <c r="P150" s="96">
        <f t="shared" si="57"/>
        <v>16</v>
      </c>
      <c r="Q150" s="97">
        <f t="shared" si="42"/>
        <v>16</v>
      </c>
      <c r="R150" s="267"/>
      <c r="S150" s="201"/>
      <c r="T150" s="192"/>
      <c r="U150" s="183"/>
      <c r="V150" s="168"/>
      <c r="W150" s="50"/>
      <c r="X150" s="50">
        <f>16</f>
        <v>16</v>
      </c>
      <c r="Y150" s="215">
        <f t="shared" si="58"/>
        <v>0</v>
      </c>
      <c r="Z150" s="120"/>
      <c r="AA150" s="96">
        <f>S150+T150+U150+V150+W150+X150+Y150</f>
        <v>16</v>
      </c>
      <c r="AB150" s="97">
        <f>IF(C150=2012, AA150/3,AA150)+Z150</f>
        <v>16</v>
      </c>
      <c r="AC150" s="22"/>
      <c r="AD150" s="267"/>
      <c r="AE150" s="50"/>
      <c r="AF150" s="50"/>
      <c r="AG150" s="50"/>
      <c r="AH150" s="50"/>
      <c r="AI150" s="120"/>
      <c r="AJ150" s="96">
        <f>SUM(AD150:AH150)</f>
        <v>0</v>
      </c>
      <c r="AK150" s="97"/>
      <c r="AL150" s="22"/>
      <c r="AM150" s="41"/>
      <c r="AN150" s="41"/>
      <c r="AO150" s="41"/>
      <c r="AP150" s="41"/>
      <c r="AQ150" s="41"/>
      <c r="AR150" s="41"/>
      <c r="AT150" s="95"/>
      <c r="AU150" s="96"/>
      <c r="AV150" s="97"/>
    </row>
    <row r="151" spans="1:67" x14ac:dyDescent="0.25">
      <c r="A151" s="45" t="s">
        <v>1020</v>
      </c>
      <c r="B151" s="66" t="s">
        <v>86</v>
      </c>
      <c r="C151" s="46">
        <v>2013</v>
      </c>
      <c r="D151" s="1">
        <f t="shared" si="56"/>
        <v>39</v>
      </c>
      <c r="H151" s="280"/>
      <c r="I151" s="154"/>
      <c r="J151" s="154"/>
      <c r="K151" s="154"/>
      <c r="L151" s="154">
        <f>45</f>
        <v>45</v>
      </c>
      <c r="M151" s="154"/>
      <c r="N151" s="267">
        <f t="shared" si="41"/>
        <v>72</v>
      </c>
      <c r="P151" s="96">
        <f t="shared" si="57"/>
        <v>117</v>
      </c>
      <c r="Q151" s="97">
        <f t="shared" si="42"/>
        <v>39</v>
      </c>
      <c r="R151" s="154"/>
      <c r="S151" s="154">
        <f>72</f>
        <v>72</v>
      </c>
      <c r="Y151" s="215">
        <f t="shared" si="58"/>
        <v>0</v>
      </c>
      <c r="Z151" s="152"/>
      <c r="AA151" s="96">
        <f>AM151+S151+T151+U151+V151+W151+X151+Y151</f>
        <v>72</v>
      </c>
      <c r="AB151" s="97">
        <f>IF(C151=2017, AA151/3,AA151)+Z151</f>
        <v>72</v>
      </c>
      <c r="AE151" s="187"/>
      <c r="AF151" s="187"/>
      <c r="AG151" s="187"/>
      <c r="AH151" s="187"/>
      <c r="AI151" s="120"/>
      <c r="AJ151" s="96">
        <f>SUM(AE151:AH151)</f>
        <v>0</v>
      </c>
      <c r="AK151" s="97">
        <f>IF(C151=2016, AJ151/3,AJ151)+AI151</f>
        <v>0</v>
      </c>
      <c r="AL151" s="101"/>
      <c r="AM151" s="151"/>
      <c r="AN151" s="151"/>
      <c r="AO151" s="151"/>
      <c r="AP151" s="151"/>
      <c r="AQ151" s="151"/>
      <c r="AR151" s="151"/>
      <c r="AT151" s="95"/>
      <c r="AU151" s="96"/>
      <c r="AV151" s="97"/>
    </row>
    <row r="152" spans="1:67" ht="14.25" customHeight="1" x14ac:dyDescent="0.25">
      <c r="A152" s="71" t="s">
        <v>417</v>
      </c>
      <c r="B152" s="71" t="s">
        <v>63</v>
      </c>
      <c r="C152" s="72">
        <v>2012</v>
      </c>
      <c r="D152" s="1">
        <f t="shared" si="56"/>
        <v>52.666666666666664</v>
      </c>
      <c r="J152" s="256">
        <f>0</f>
        <v>0</v>
      </c>
      <c r="K152" s="256">
        <f>8</f>
        <v>8</v>
      </c>
      <c r="L152" s="256"/>
      <c r="M152" s="256"/>
      <c r="N152" s="267">
        <f t="shared" si="41"/>
        <v>44.666666666666664</v>
      </c>
      <c r="P152" s="96">
        <f t="shared" si="57"/>
        <v>52.666666666666664</v>
      </c>
      <c r="Q152" s="97">
        <f t="shared" si="42"/>
        <v>52.666666666666664</v>
      </c>
      <c r="R152" s="256"/>
      <c r="S152" s="201">
        <f>20</f>
        <v>20</v>
      </c>
      <c r="T152" s="192">
        <f>0</f>
        <v>0</v>
      </c>
      <c r="U152" s="183">
        <f>0+4</f>
        <v>4</v>
      </c>
      <c r="V152" s="168">
        <f>0+3</f>
        <v>3</v>
      </c>
      <c r="W152" s="50">
        <f>22+3+6</f>
        <v>31</v>
      </c>
      <c r="X152" s="50">
        <f>28</f>
        <v>28</v>
      </c>
      <c r="Y152" s="215">
        <f t="shared" si="58"/>
        <v>48</v>
      </c>
      <c r="Z152" s="120"/>
      <c r="AA152" s="96">
        <f>S152+T152+U152+V152+W152+X152+Y152</f>
        <v>134</v>
      </c>
      <c r="AB152" s="97">
        <f>IF(C152=2012, AA152/3,AA152)+Z152</f>
        <v>44.666666666666664</v>
      </c>
      <c r="AC152" s="269"/>
      <c r="AD152" s="269"/>
      <c r="AE152" s="50">
        <f>22</f>
        <v>22</v>
      </c>
      <c r="AF152" s="50"/>
      <c r="AG152" s="50">
        <f>26</f>
        <v>26</v>
      </c>
      <c r="AH152" s="50">
        <f>AV152</f>
        <v>0</v>
      </c>
      <c r="AI152" s="120"/>
      <c r="AJ152" s="96">
        <f>SUM(AD152:AH152)</f>
        <v>48</v>
      </c>
      <c r="AK152" s="97">
        <f>IF(C152=2011, AJ152/3,AJ152)+AI152</f>
        <v>48</v>
      </c>
      <c r="AL152" s="22"/>
      <c r="AM152" s="267"/>
      <c r="AN152" s="267"/>
      <c r="AO152" s="267"/>
      <c r="AP152" s="267"/>
      <c r="AQ152" s="267">
        <f>0</f>
        <v>0</v>
      </c>
      <c r="AR152" s="267"/>
      <c r="AS152" s="265"/>
      <c r="AT152" s="95"/>
      <c r="AU152" s="96">
        <f>SUM(AM152:AS152)</f>
        <v>0</v>
      </c>
      <c r="AV152" s="97">
        <f>IF(C152=2015, AU152/3,AU152)+AT152</f>
        <v>0</v>
      </c>
    </row>
    <row r="153" spans="1:67" x14ac:dyDescent="0.25">
      <c r="A153" s="11" t="s">
        <v>44</v>
      </c>
      <c r="B153" s="11" t="s">
        <v>36</v>
      </c>
      <c r="C153" s="3">
        <v>2013</v>
      </c>
      <c r="D153" s="1">
        <f t="shared" si="56"/>
        <v>77.666666666666671</v>
      </c>
      <c r="I153" s="267"/>
      <c r="J153" s="267"/>
      <c r="K153" s="267"/>
      <c r="L153" s="267"/>
      <c r="M153" s="267"/>
      <c r="N153" s="267">
        <f t="shared" si="41"/>
        <v>233</v>
      </c>
      <c r="P153" s="96">
        <f t="shared" si="57"/>
        <v>233</v>
      </c>
      <c r="Q153" s="97">
        <f t="shared" si="42"/>
        <v>77.666666666666671</v>
      </c>
      <c r="R153" s="267"/>
      <c r="S153" s="201"/>
      <c r="T153" s="192"/>
      <c r="U153" s="183"/>
      <c r="V153" s="168">
        <f>16</f>
        <v>16</v>
      </c>
      <c r="W153" s="50"/>
      <c r="X153" s="50"/>
      <c r="Y153" s="215">
        <f t="shared" si="58"/>
        <v>215</v>
      </c>
      <c r="Z153" s="120"/>
      <c r="AA153" s="96">
        <f>AM153+S153+T153+U153+V153+W153+X153+Y153</f>
        <v>233</v>
      </c>
      <c r="AB153" s="97">
        <f>IF(C153=2017, AA153/3,AA153)+Z153</f>
        <v>233</v>
      </c>
      <c r="AC153" s="290"/>
      <c r="AD153" s="290"/>
      <c r="AE153" s="50">
        <f>36</f>
        <v>36</v>
      </c>
      <c r="AF153" s="50">
        <f>50</f>
        <v>50</v>
      </c>
      <c r="AG153" s="50">
        <f>42</f>
        <v>42</v>
      </c>
      <c r="AH153" s="50">
        <f>AV153</f>
        <v>87</v>
      </c>
      <c r="AI153" s="120"/>
      <c r="AJ153" s="96">
        <f>SUM(AE153:AH153)</f>
        <v>215</v>
      </c>
      <c r="AK153" s="97">
        <f>IF(C153=2016, AJ153/3,AJ153)+AI153</f>
        <v>215</v>
      </c>
      <c r="AL153" s="22"/>
      <c r="AM153" s="267">
        <v>2</v>
      </c>
      <c r="AN153" s="267"/>
      <c r="AO153" s="267">
        <f>21</f>
        <v>21</v>
      </c>
      <c r="AP153" s="267">
        <f>28</f>
        <v>28</v>
      </c>
      <c r="AQ153" s="267">
        <v>36</v>
      </c>
      <c r="AR153" s="267">
        <f>0</f>
        <v>0</v>
      </c>
      <c r="AS153" s="265"/>
      <c r="AT153" s="95"/>
      <c r="AU153" s="96">
        <f>SUM(AM153:AS153)</f>
        <v>87</v>
      </c>
      <c r="AV153" s="97">
        <f>IF(C153=2015, AU153/3,AU153)+AT153</f>
        <v>87</v>
      </c>
    </row>
    <row r="154" spans="1:67" s="17" customFormat="1" x14ac:dyDescent="0.25">
      <c r="A154" s="11" t="s">
        <v>47</v>
      </c>
      <c r="B154" s="11" t="s">
        <v>36</v>
      </c>
      <c r="C154" s="3">
        <v>2012</v>
      </c>
      <c r="D154" s="1">
        <f t="shared" si="56"/>
        <v>98.666666666666657</v>
      </c>
      <c r="E154" s="283">
        <f>42</f>
        <v>42</v>
      </c>
      <c r="F154" s="278">
        <f>12</f>
        <v>12</v>
      </c>
      <c r="G154" s="120"/>
      <c r="H154" s="13"/>
      <c r="I154" s="261">
        <f>12</f>
        <v>12</v>
      </c>
      <c r="J154" s="252"/>
      <c r="K154" s="252"/>
      <c r="L154" s="252"/>
      <c r="M154" s="252"/>
      <c r="N154" s="267">
        <f t="shared" si="41"/>
        <v>44.666666666666664</v>
      </c>
      <c r="O154" s="120"/>
      <c r="P154" s="96">
        <f t="shared" si="57"/>
        <v>56.666666666666664</v>
      </c>
      <c r="Q154" s="97">
        <f t="shared" si="42"/>
        <v>56.666666666666664</v>
      </c>
      <c r="R154" s="252"/>
      <c r="S154" s="201"/>
      <c r="T154" s="192"/>
      <c r="U154" s="183"/>
      <c r="V154" s="168">
        <f>48</f>
        <v>48</v>
      </c>
      <c r="W154" s="50"/>
      <c r="X154" s="50"/>
      <c r="Y154" s="215">
        <f t="shared" si="58"/>
        <v>86</v>
      </c>
      <c r="Z154" s="120"/>
      <c r="AA154" s="96">
        <f>S154+T154+U154+V154+W154+X154+Y154</f>
        <v>134</v>
      </c>
      <c r="AB154" s="97">
        <f>IF(C154=2012, AA154/3,AA154)+Z154</f>
        <v>44.666666666666664</v>
      </c>
      <c r="AC154" s="290"/>
      <c r="AD154" s="290"/>
      <c r="AE154" s="50">
        <f>24</f>
        <v>24</v>
      </c>
      <c r="AF154" s="50">
        <f>25</f>
        <v>25</v>
      </c>
      <c r="AG154" s="50"/>
      <c r="AH154" s="50">
        <f>AV154</f>
        <v>37</v>
      </c>
      <c r="AI154" s="120"/>
      <c r="AJ154" s="96">
        <f>SUM(AD154:AH154)</f>
        <v>86</v>
      </c>
      <c r="AK154" s="97">
        <f>IF(C154=2011, AJ154/3,AJ154)+AI154</f>
        <v>86</v>
      </c>
      <c r="AL154" s="22"/>
      <c r="AM154" s="267">
        <v>2</v>
      </c>
      <c r="AN154" s="267"/>
      <c r="AO154" s="267">
        <f>6</f>
        <v>6</v>
      </c>
      <c r="AP154" s="267">
        <f>0</f>
        <v>0</v>
      </c>
      <c r="AQ154" s="267">
        <f>29</f>
        <v>29</v>
      </c>
      <c r="AR154" s="267"/>
      <c r="AS154" s="265"/>
      <c r="AT154" s="95"/>
      <c r="AU154" s="96">
        <f>SUM(AM154:AS154)</f>
        <v>37</v>
      </c>
      <c r="AV154" s="97">
        <f>IF(C154=2015, AU154/3,AU154)+AT154</f>
        <v>37</v>
      </c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spans="1:67" x14ac:dyDescent="0.25">
      <c r="A155" s="11" t="s">
        <v>804</v>
      </c>
      <c r="B155" s="60" t="s">
        <v>583</v>
      </c>
      <c r="C155" s="62">
        <v>2011</v>
      </c>
      <c r="D155" s="1">
        <f t="shared" si="56"/>
        <v>12</v>
      </c>
      <c r="H155" s="280"/>
      <c r="J155" s="256"/>
      <c r="K155" s="256"/>
      <c r="L155" s="256"/>
      <c r="M155" s="256"/>
      <c r="N155" s="267">
        <f t="shared" si="41"/>
        <v>12</v>
      </c>
      <c r="P155" s="96">
        <f t="shared" si="57"/>
        <v>12</v>
      </c>
      <c r="Q155" s="97">
        <f t="shared" si="42"/>
        <v>12</v>
      </c>
      <c r="R155" s="256"/>
      <c r="S155" s="215"/>
      <c r="T155" s="215"/>
      <c r="U155" s="215"/>
      <c r="V155" s="215"/>
      <c r="W155" s="215"/>
      <c r="X155" s="215">
        <f>12</f>
        <v>12</v>
      </c>
      <c r="Y155" s="215">
        <f t="shared" si="58"/>
        <v>0</v>
      </c>
      <c r="Z155" s="120"/>
      <c r="AA155" s="96">
        <f>S155+T155+U155+V155+W155+X155+Y155</f>
        <v>12</v>
      </c>
      <c r="AB155" s="97">
        <f>IF(C155=2012, AA155/3,AA155)+Z155</f>
        <v>12</v>
      </c>
      <c r="AC155" s="22"/>
      <c r="AD155" s="267"/>
      <c r="AE155" s="50"/>
      <c r="AF155" s="50"/>
      <c r="AG155" s="50"/>
      <c r="AH155" s="50"/>
      <c r="AI155" s="120"/>
      <c r="AJ155" s="96">
        <f>SUM(AD155:AH155)</f>
        <v>0</v>
      </c>
      <c r="AK155" s="97"/>
      <c r="AL155" s="22"/>
      <c r="AM155" s="41"/>
      <c r="AN155" s="41"/>
      <c r="AO155" s="41"/>
      <c r="AP155" s="41"/>
      <c r="AQ155" s="41"/>
      <c r="AR155" s="41"/>
      <c r="AT155" s="95"/>
      <c r="AU155" s="96"/>
      <c r="AV155" s="97"/>
    </row>
    <row r="156" spans="1:67" s="17" customFormat="1" x14ac:dyDescent="0.25">
      <c r="A156" s="45" t="s">
        <v>587</v>
      </c>
      <c r="B156" s="66" t="s">
        <v>583</v>
      </c>
      <c r="C156" s="46">
        <v>2011</v>
      </c>
      <c r="D156" s="1">
        <f t="shared" si="56"/>
        <v>6</v>
      </c>
      <c r="E156" s="283"/>
      <c r="F156" s="278"/>
      <c r="G156" s="120"/>
      <c r="H156" s="280"/>
      <c r="I156" s="154"/>
      <c r="J156" s="154"/>
      <c r="K156" s="154"/>
      <c r="L156" s="154"/>
      <c r="M156" s="154"/>
      <c r="N156" s="267">
        <f t="shared" si="41"/>
        <v>6</v>
      </c>
      <c r="O156" s="120"/>
      <c r="P156" s="96">
        <f t="shared" si="57"/>
        <v>6</v>
      </c>
      <c r="Q156" s="97">
        <f t="shared" si="42"/>
        <v>6</v>
      </c>
      <c r="R156" s="154"/>
      <c r="S156" s="201"/>
      <c r="T156" s="192"/>
      <c r="U156" s="183"/>
      <c r="V156" s="168"/>
      <c r="W156" s="50"/>
      <c r="X156" s="50">
        <f>3</f>
        <v>3</v>
      </c>
      <c r="Y156" s="215">
        <f t="shared" si="58"/>
        <v>3</v>
      </c>
      <c r="Z156" s="120"/>
      <c r="AA156" s="96">
        <f>S156+T156+U156+V156+W156+X156+Y156</f>
        <v>6</v>
      </c>
      <c r="AB156" s="97">
        <f>IF(C156=2012, AA156/3,AA156)+Z156</f>
        <v>6</v>
      </c>
      <c r="AC156" s="287"/>
      <c r="AD156" s="287"/>
      <c r="AE156" s="50"/>
      <c r="AF156" s="50"/>
      <c r="AG156" s="50">
        <f>0</f>
        <v>0</v>
      </c>
      <c r="AH156" s="50"/>
      <c r="AI156" s="120">
        <f>3</f>
        <v>3</v>
      </c>
      <c r="AJ156" s="96">
        <f>SUM(AD156:AH156)</f>
        <v>0</v>
      </c>
      <c r="AK156" s="97">
        <f>IF(C156=2011, AJ156/3,AJ156)+AI156</f>
        <v>3</v>
      </c>
      <c r="AL156" s="101"/>
      <c r="AM156" s="41"/>
      <c r="AN156" s="41"/>
      <c r="AO156" s="41"/>
      <c r="AP156" s="41"/>
      <c r="AQ156" s="41"/>
      <c r="AR156" s="41"/>
      <c r="AS156" s="13"/>
      <c r="AT156" s="95"/>
      <c r="AU156" s="96"/>
      <c r="AV156" s="97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spans="1:67" x14ac:dyDescent="0.25">
      <c r="A157" s="45" t="s">
        <v>951</v>
      </c>
      <c r="B157" s="66" t="s">
        <v>63</v>
      </c>
      <c r="C157" s="46">
        <v>2013</v>
      </c>
      <c r="D157" s="1">
        <f t="shared" si="56"/>
        <v>3</v>
      </c>
      <c r="E157" s="154"/>
      <c r="F157" s="154"/>
      <c r="H157" s="290"/>
      <c r="I157" s="154"/>
      <c r="J157" s="154"/>
      <c r="K157" s="154">
        <f>9</f>
        <v>9</v>
      </c>
      <c r="L157" s="154"/>
      <c r="M157" s="154"/>
      <c r="N157" s="267">
        <f t="shared" si="41"/>
        <v>0</v>
      </c>
      <c r="P157" s="96">
        <f t="shared" si="57"/>
        <v>9</v>
      </c>
      <c r="Q157" s="97">
        <f t="shared" si="42"/>
        <v>3</v>
      </c>
      <c r="R157" s="154"/>
      <c r="S157" s="154">
        <f>0</f>
        <v>0</v>
      </c>
      <c r="T157" s="154">
        <f>0</f>
        <v>0</v>
      </c>
      <c r="Y157" s="215">
        <f t="shared" si="58"/>
        <v>0</v>
      </c>
      <c r="Z157" s="152"/>
      <c r="AA157" s="96">
        <f>AM157+S157+T157+U157+V157+W157+X157+Y157</f>
        <v>0</v>
      </c>
      <c r="AB157" s="97">
        <f>IF(C157=2017, AA157/3,AA157)+Z157</f>
        <v>0</v>
      </c>
      <c r="AE157" s="50"/>
      <c r="AF157" s="50"/>
      <c r="AG157" s="50"/>
      <c r="AH157" s="50"/>
      <c r="AI157" s="120"/>
      <c r="AJ157" s="96">
        <f>SUM(AE157:AH157)</f>
        <v>0</v>
      </c>
      <c r="AK157" s="97">
        <f>IF(C157=2016, AJ157/3,AJ157)+AI157</f>
        <v>0</v>
      </c>
      <c r="AL157" s="101"/>
      <c r="AM157" s="151"/>
      <c r="AN157" s="151"/>
      <c r="AO157" s="151"/>
      <c r="AP157" s="151"/>
      <c r="AQ157" s="151"/>
      <c r="AR157" s="151"/>
      <c r="AT157" s="95"/>
      <c r="AU157" s="96"/>
      <c r="AV157" s="97"/>
    </row>
    <row r="158" spans="1:67" s="17" customFormat="1" x14ac:dyDescent="0.25">
      <c r="A158" s="45" t="s">
        <v>941</v>
      </c>
      <c r="B158" s="66" t="s">
        <v>63</v>
      </c>
      <c r="C158" s="46">
        <v>2013</v>
      </c>
      <c r="D158" s="1">
        <f t="shared" si="56"/>
        <v>45.333333333333336</v>
      </c>
      <c r="E158" s="283">
        <f>0</f>
        <v>0</v>
      </c>
      <c r="F158" s="278">
        <f>2</f>
        <v>2</v>
      </c>
      <c r="G158" s="120"/>
      <c r="H158" s="13"/>
      <c r="I158" s="154">
        <f>58</f>
        <v>58</v>
      </c>
      <c r="J158" s="154"/>
      <c r="K158" s="154">
        <f>5+4</f>
        <v>9</v>
      </c>
      <c r="L158" s="154"/>
      <c r="M158" s="154"/>
      <c r="N158" s="267">
        <f t="shared" si="41"/>
        <v>69</v>
      </c>
      <c r="O158" s="120"/>
      <c r="P158" s="96">
        <f t="shared" si="57"/>
        <v>136</v>
      </c>
      <c r="Q158" s="97">
        <f t="shared" si="42"/>
        <v>45.333333333333336</v>
      </c>
      <c r="R158" s="154"/>
      <c r="S158" s="154">
        <f>41+2</f>
        <v>43</v>
      </c>
      <c r="T158" s="154">
        <f>26</f>
        <v>26</v>
      </c>
      <c r="U158" s="154"/>
      <c r="V158" s="154"/>
      <c r="W158" s="154"/>
      <c r="X158" s="154"/>
      <c r="Y158" s="215">
        <f t="shared" si="58"/>
        <v>0</v>
      </c>
      <c r="Z158" s="152"/>
      <c r="AA158" s="96">
        <f>AM158+S158+T158+U158+V158+W158+X158+Y158</f>
        <v>69</v>
      </c>
      <c r="AB158" s="97">
        <f>IF(C158=2017, AA158/3,AA158)+Z158</f>
        <v>69</v>
      </c>
      <c r="AC158" s="13"/>
      <c r="AD158" s="13"/>
      <c r="AE158" s="50"/>
      <c r="AF158" s="50"/>
      <c r="AG158" s="50"/>
      <c r="AH158" s="50"/>
      <c r="AI158" s="120"/>
      <c r="AJ158" s="96">
        <f>SUM(AE158:AH158)</f>
        <v>0</v>
      </c>
      <c r="AK158" s="97">
        <f>IF(C158=2016, AJ158/3,AJ158)+AI158</f>
        <v>0</v>
      </c>
      <c r="AL158" s="101"/>
      <c r="AM158" s="151"/>
      <c r="AN158" s="151"/>
      <c r="AO158" s="151"/>
      <c r="AP158" s="151"/>
      <c r="AQ158" s="151"/>
      <c r="AR158" s="151"/>
      <c r="AS158" s="13"/>
      <c r="AT158" s="95"/>
      <c r="AU158" s="96"/>
      <c r="AV158" s="97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spans="1:67" s="17" customFormat="1" x14ac:dyDescent="0.25">
      <c r="A159" s="11" t="s">
        <v>1173</v>
      </c>
      <c r="B159" s="87" t="s">
        <v>87</v>
      </c>
      <c r="C159" s="3">
        <v>2010</v>
      </c>
      <c r="D159" s="1">
        <f t="shared" si="56"/>
        <v>12</v>
      </c>
      <c r="E159" s="283"/>
      <c r="F159" s="278"/>
      <c r="G159" s="120"/>
      <c r="H159" s="13"/>
      <c r="I159" s="267"/>
      <c r="J159" s="267"/>
      <c r="K159" s="267"/>
      <c r="L159" s="267">
        <v>12</v>
      </c>
      <c r="M159" s="267"/>
      <c r="N159" s="267">
        <f t="shared" si="41"/>
        <v>0</v>
      </c>
      <c r="O159" s="120"/>
      <c r="P159" s="96">
        <f t="shared" si="57"/>
        <v>12</v>
      </c>
      <c r="Q159" s="97">
        <f t="shared" si="42"/>
        <v>12</v>
      </c>
      <c r="R159" s="267"/>
      <c r="S159" s="154"/>
      <c r="T159" s="154"/>
      <c r="U159" s="154"/>
      <c r="V159" s="154"/>
      <c r="W159" s="154"/>
      <c r="X159" s="154"/>
      <c r="Y159" s="154"/>
      <c r="Z159" s="13"/>
      <c r="AA159" s="3"/>
      <c r="AB159" s="3"/>
      <c r="AC159" s="13"/>
      <c r="AD159" s="13"/>
      <c r="AE159" s="13"/>
      <c r="AF159" s="13"/>
      <c r="AG159" s="13"/>
      <c r="AH159" s="13"/>
      <c r="AI159" s="13"/>
      <c r="AJ159" s="3"/>
      <c r="AK159" s="3"/>
      <c r="AL159" s="13"/>
      <c r="AM159" s="13"/>
      <c r="AN159" s="13"/>
      <c r="AO159" s="13"/>
      <c r="AP159" s="13"/>
      <c r="AQ159" s="13"/>
      <c r="AR159" s="13"/>
      <c r="AS159" s="1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spans="1:67" s="17" customFormat="1" x14ac:dyDescent="0.25">
      <c r="A160" s="51" t="s">
        <v>25</v>
      </c>
      <c r="B160" s="51" t="s">
        <v>23</v>
      </c>
      <c r="C160" s="52">
        <v>2011</v>
      </c>
      <c r="D160" s="1">
        <f t="shared" si="56"/>
        <v>129.66666666666669</v>
      </c>
      <c r="E160" s="108">
        <f>6+27</f>
        <v>33</v>
      </c>
      <c r="F160" s="108"/>
      <c r="G160" s="120"/>
      <c r="H160" s="13"/>
      <c r="I160" s="108"/>
      <c r="J160" s="108"/>
      <c r="K160" s="108"/>
      <c r="L160" s="108"/>
      <c r="M160" s="108"/>
      <c r="N160" s="267">
        <f t="shared" si="41"/>
        <v>96.666666666666671</v>
      </c>
      <c r="O160" s="120"/>
      <c r="P160" s="96">
        <f t="shared" si="57"/>
        <v>96.666666666666671</v>
      </c>
      <c r="Q160" s="97">
        <f t="shared" si="42"/>
        <v>96.666666666666671</v>
      </c>
      <c r="R160" s="108"/>
      <c r="S160" s="231"/>
      <c r="T160" s="231">
        <f>0+3</f>
        <v>3</v>
      </c>
      <c r="U160" s="231"/>
      <c r="V160" s="231"/>
      <c r="W160" s="231"/>
      <c r="X160" s="231"/>
      <c r="Y160" s="215">
        <f>AK160</f>
        <v>93.666666666666671</v>
      </c>
      <c r="Z160" s="120"/>
      <c r="AA160" s="96">
        <f>S160+T160+U160+V160+W160+X160+Y160</f>
        <v>96.666666666666671</v>
      </c>
      <c r="AB160" s="97">
        <f>IF(C160=2012, AA160/3,AA160)+Z160</f>
        <v>96.666666666666671</v>
      </c>
      <c r="AC160" s="287"/>
      <c r="AD160" s="287"/>
      <c r="AE160" s="50"/>
      <c r="AF160" s="50">
        <f>66+57</f>
        <v>123</v>
      </c>
      <c r="AG160" s="50"/>
      <c r="AH160" s="50">
        <f>AV160</f>
        <v>158</v>
      </c>
      <c r="AI160" s="120"/>
      <c r="AJ160" s="96">
        <f>SUM(AD160:AH160)</f>
        <v>281</v>
      </c>
      <c r="AK160" s="97">
        <f>IF(C160=2011, AJ160/3,AJ160)+AI160</f>
        <v>93.666666666666671</v>
      </c>
      <c r="AL160" s="22"/>
      <c r="AM160" s="267">
        <f>11</f>
        <v>11</v>
      </c>
      <c r="AN160" s="267"/>
      <c r="AO160" s="267"/>
      <c r="AP160" s="267"/>
      <c r="AQ160" s="267"/>
      <c r="AR160" s="267"/>
      <c r="AS160" s="267">
        <v>147</v>
      </c>
      <c r="AT160" s="95"/>
      <c r="AU160" s="96">
        <f>SUM(AM160:AS160)</f>
        <v>158</v>
      </c>
      <c r="AV160" s="97">
        <f>IF(C160=2015, AU160/3,AU160)+AT160</f>
        <v>158</v>
      </c>
      <c r="AW160" s="52"/>
      <c r="AX160" s="5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</row>
    <row r="161" spans="1:67" x14ac:dyDescent="0.25">
      <c r="A161" s="11" t="s">
        <v>915</v>
      </c>
      <c r="B161" s="60" t="s">
        <v>64</v>
      </c>
      <c r="C161" s="62"/>
      <c r="D161" s="1">
        <f t="shared" si="56"/>
        <v>3</v>
      </c>
      <c r="E161" s="108"/>
      <c r="F161" s="108"/>
      <c r="J161" s="256"/>
      <c r="K161" s="256"/>
      <c r="L161" s="256"/>
      <c r="M161" s="256"/>
      <c r="N161" s="267">
        <f t="shared" si="41"/>
        <v>3</v>
      </c>
      <c r="P161" s="96">
        <f t="shared" si="57"/>
        <v>3</v>
      </c>
      <c r="Q161" s="97">
        <f t="shared" si="42"/>
        <v>3</v>
      </c>
      <c r="R161" s="256"/>
      <c r="S161" s="201"/>
      <c r="T161" s="192"/>
      <c r="U161" s="183"/>
      <c r="V161" s="168">
        <f>3</f>
        <v>3</v>
      </c>
      <c r="W161" s="50"/>
      <c r="X161" s="50"/>
      <c r="Y161" s="215">
        <f>AK161</f>
        <v>0</v>
      </c>
      <c r="Z161" s="120"/>
      <c r="AA161" s="96">
        <f>S161+T161+U161+V161+W161+X161+Y161</f>
        <v>3</v>
      </c>
      <c r="AB161" s="97">
        <f>IF(C161=2012, AA161/3,AA161)+Z161</f>
        <v>3</v>
      </c>
      <c r="AC161" s="22"/>
      <c r="AD161" s="50"/>
      <c r="AE161" s="50"/>
      <c r="AF161" s="50"/>
      <c r="AG161" s="50"/>
      <c r="AH161" s="50"/>
      <c r="AI161" s="120"/>
      <c r="AJ161" s="96">
        <f>SUM(AD161:AH161)</f>
        <v>0</v>
      </c>
      <c r="AK161" s="97">
        <f>IF(C161=2011, AJ161/3,AJ161)+AI161</f>
        <v>0</v>
      </c>
      <c r="AL161" s="22"/>
      <c r="AM161" s="41"/>
      <c r="AN161" s="41"/>
      <c r="AO161" s="41"/>
      <c r="AP161" s="41"/>
      <c r="AQ161" s="41"/>
      <c r="AR161" s="41"/>
      <c r="AT161" s="95"/>
      <c r="AU161" s="96"/>
      <c r="AV161" s="97"/>
    </row>
    <row r="162" spans="1:67" s="17" customFormat="1" x14ac:dyDescent="0.25">
      <c r="A162" s="11" t="s">
        <v>1149</v>
      </c>
      <c r="B162" s="60" t="s">
        <v>86</v>
      </c>
      <c r="C162" s="62">
        <v>2011</v>
      </c>
      <c r="D162" s="1">
        <f t="shared" si="56"/>
        <v>17</v>
      </c>
      <c r="E162" s="287"/>
      <c r="F162" s="287"/>
      <c r="G162" s="120"/>
      <c r="H162" s="13"/>
      <c r="I162" s="287"/>
      <c r="J162" s="287"/>
      <c r="K162" s="287"/>
      <c r="L162" s="287">
        <f>17</f>
        <v>17</v>
      </c>
      <c r="M162" s="287"/>
      <c r="N162" s="267">
        <f t="shared" si="41"/>
        <v>0</v>
      </c>
      <c r="O162" s="120"/>
      <c r="P162" s="96">
        <f t="shared" si="57"/>
        <v>17</v>
      </c>
      <c r="Q162" s="97">
        <f t="shared" si="42"/>
        <v>17</v>
      </c>
      <c r="R162" s="287"/>
      <c r="S162" s="201"/>
      <c r="T162" s="192"/>
      <c r="U162" s="183"/>
      <c r="V162" s="168"/>
      <c r="W162" s="50"/>
      <c r="X162" s="50"/>
      <c r="Y162" s="215"/>
      <c r="Z162" s="120"/>
      <c r="AA162" s="96"/>
      <c r="AB162" s="97"/>
      <c r="AC162" s="22"/>
      <c r="AD162" s="50"/>
      <c r="AE162" s="50"/>
      <c r="AF162" s="50"/>
      <c r="AG162" s="50"/>
      <c r="AH162" s="50"/>
      <c r="AI162" s="120"/>
      <c r="AJ162" s="96"/>
      <c r="AK162" s="97"/>
      <c r="AL162" s="22"/>
      <c r="AM162" s="41"/>
      <c r="AN162" s="41"/>
      <c r="AO162" s="41"/>
      <c r="AP162" s="41"/>
      <c r="AQ162" s="41"/>
      <c r="AR162" s="41"/>
      <c r="AS162" s="13"/>
      <c r="AT162" s="95"/>
      <c r="AU162" s="96"/>
      <c r="AV162" s="97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spans="1:67" x14ac:dyDescent="0.25">
      <c r="A163" s="45" t="s">
        <v>946</v>
      </c>
      <c r="B163" s="66" t="s">
        <v>63</v>
      </c>
      <c r="C163" s="46">
        <v>2012</v>
      </c>
      <c r="D163" s="1">
        <f t="shared" si="56"/>
        <v>3</v>
      </c>
      <c r="E163" s="287"/>
      <c r="F163" s="287"/>
      <c r="H163" s="290"/>
      <c r="I163" s="267"/>
      <c r="J163" s="267"/>
      <c r="K163" s="267"/>
      <c r="L163" s="267"/>
      <c r="M163" s="267"/>
      <c r="N163" s="267">
        <f t="shared" si="41"/>
        <v>3</v>
      </c>
      <c r="P163" s="96">
        <f t="shared" si="57"/>
        <v>3</v>
      </c>
      <c r="Q163" s="97">
        <f t="shared" si="42"/>
        <v>3</v>
      </c>
      <c r="R163" s="267"/>
      <c r="S163" s="154">
        <f>0</f>
        <v>0</v>
      </c>
      <c r="T163" s="154">
        <f>9</f>
        <v>9</v>
      </c>
      <c r="Y163" s="215">
        <f>AK163</f>
        <v>0</v>
      </c>
      <c r="Z163" s="152"/>
      <c r="AA163" s="96">
        <f>S163+T163+U163+V163+W163+X163+Y163</f>
        <v>9</v>
      </c>
      <c r="AB163" s="97">
        <f>IF(C163=2012, AA163/3,AA163)+Z163</f>
        <v>3</v>
      </c>
      <c r="AE163" s="215"/>
      <c r="AF163" s="215"/>
      <c r="AG163" s="215"/>
      <c r="AH163" s="215"/>
      <c r="AI163" s="120"/>
      <c r="AJ163" s="96">
        <f>SUM(AD163:AH163)</f>
        <v>0</v>
      </c>
      <c r="AK163" s="97">
        <f>IF(C163=2011, AJ163/3,AJ163)+AI163</f>
        <v>0</v>
      </c>
      <c r="AL163" s="101"/>
      <c r="AM163" s="151"/>
      <c r="AN163" s="151"/>
      <c r="AO163" s="151"/>
      <c r="AP163" s="151"/>
      <c r="AQ163" s="151"/>
      <c r="AR163" s="151"/>
      <c r="AT163" s="95"/>
      <c r="AU163" s="96"/>
      <c r="AV163" s="97"/>
    </row>
    <row r="164" spans="1:67" x14ac:dyDescent="0.25">
      <c r="A164" s="11" t="s">
        <v>145</v>
      </c>
      <c r="B164" s="60" t="s">
        <v>64</v>
      </c>
      <c r="C164" s="62">
        <v>2012</v>
      </c>
      <c r="D164" s="1">
        <f t="shared" si="56"/>
        <v>0</v>
      </c>
      <c r="E164" s="154"/>
      <c r="F164" s="154"/>
      <c r="H164" s="280"/>
      <c r="J164" s="256"/>
      <c r="K164" s="256"/>
      <c r="L164" s="256"/>
      <c r="M164" s="256"/>
      <c r="N164" s="267">
        <f t="shared" si="41"/>
        <v>0</v>
      </c>
      <c r="P164" s="96">
        <f t="shared" si="57"/>
        <v>0</v>
      </c>
      <c r="Q164" s="97">
        <f t="shared" si="42"/>
        <v>0</v>
      </c>
      <c r="R164" s="256"/>
      <c r="S164" s="256"/>
      <c r="T164" s="256"/>
      <c r="U164" s="256"/>
      <c r="V164" s="256"/>
      <c r="W164" s="256"/>
      <c r="X164" s="256"/>
      <c r="Y164" s="215">
        <f>AK164</f>
        <v>0</v>
      </c>
      <c r="Z164" s="120"/>
      <c r="AA164" s="96">
        <f>S164+T164+U164+V164+W164+X164+Y164</f>
        <v>0</v>
      </c>
      <c r="AB164" s="97">
        <f>IF(C164=2012, AA164/3,AA164)+Z164</f>
        <v>0</v>
      </c>
      <c r="AC164" s="269"/>
      <c r="AD164" s="269"/>
      <c r="AE164" s="50"/>
      <c r="AF164" s="50"/>
      <c r="AG164" s="50"/>
      <c r="AH164" s="50">
        <f>AV164</f>
        <v>0</v>
      </c>
      <c r="AI164" s="120"/>
      <c r="AJ164" s="96">
        <f>SUM(AD164:AH164)</f>
        <v>0</v>
      </c>
      <c r="AK164" s="97">
        <f>IF(C164=2011, AJ164/3,AJ164)+AI164</f>
        <v>0</v>
      </c>
      <c r="AL164" s="22"/>
      <c r="AM164" s="41"/>
      <c r="AN164" s="41">
        <v>0</v>
      </c>
      <c r="AO164" s="41"/>
      <c r="AP164" s="41"/>
      <c r="AQ164" s="41"/>
      <c r="AR164" s="41"/>
      <c r="AT164" s="95"/>
      <c r="AU164" s="96">
        <f>SUM(AM164:AS164)</f>
        <v>0</v>
      </c>
      <c r="AV164" s="97">
        <f>IF(C164=2015, AU164/3,AU164)+AT164</f>
        <v>0</v>
      </c>
    </row>
    <row r="165" spans="1:67" x14ac:dyDescent="0.25">
      <c r="A165" s="11" t="s">
        <v>978</v>
      </c>
      <c r="B165" s="60" t="s">
        <v>63</v>
      </c>
      <c r="C165" s="62">
        <v>2011</v>
      </c>
      <c r="D165" s="1">
        <f t="shared" si="56"/>
        <v>77</v>
      </c>
      <c r="E165" s="283">
        <f>24</f>
        <v>24</v>
      </c>
      <c r="H165" s="280"/>
      <c r="I165" s="261">
        <f>40</f>
        <v>40</v>
      </c>
      <c r="J165" s="256">
        <f>3</f>
        <v>3</v>
      </c>
      <c r="K165" s="256">
        <f>2</f>
        <v>2</v>
      </c>
      <c r="L165" s="256"/>
      <c r="M165" s="256"/>
      <c r="N165" s="267">
        <f t="shared" ref="N165:N228" si="59">AB165</f>
        <v>8</v>
      </c>
      <c r="P165" s="96">
        <f t="shared" si="57"/>
        <v>53</v>
      </c>
      <c r="Q165" s="97">
        <f t="shared" ref="Q165:Q228" si="60">IF(C165=2013, P165/3,P165)+O165</f>
        <v>53</v>
      </c>
      <c r="R165" s="256"/>
      <c r="S165" s="252">
        <f>6+1</f>
        <v>7</v>
      </c>
      <c r="T165" s="252">
        <f>0+1</f>
        <v>1</v>
      </c>
      <c r="U165" s="252"/>
      <c r="V165" s="252"/>
      <c r="W165" s="252"/>
      <c r="X165" s="252"/>
      <c r="Y165" s="215">
        <f>AK165</f>
        <v>0</v>
      </c>
      <c r="Z165" s="120"/>
      <c r="AA165" s="96">
        <f>S165+T165+U165+V165+W165+X165+Y165</f>
        <v>8</v>
      </c>
      <c r="AB165" s="97">
        <f>IF(C165=2012, AA165/3,AA165)+Z165</f>
        <v>8</v>
      </c>
      <c r="AC165" s="22"/>
      <c r="AD165" s="287"/>
      <c r="AE165" s="50"/>
      <c r="AF165" s="50"/>
      <c r="AG165" s="50"/>
      <c r="AH165" s="50"/>
      <c r="AI165" s="120"/>
      <c r="AJ165" s="96">
        <f>SUM(AD165:AH165)</f>
        <v>0</v>
      </c>
      <c r="AK165" s="97">
        <f>IF(C165=2011, AJ165/3,AJ165)+AI165</f>
        <v>0</v>
      </c>
      <c r="AL165" s="22"/>
      <c r="AM165" s="41"/>
      <c r="AN165" s="41"/>
      <c r="AO165" s="41"/>
      <c r="AP165" s="41"/>
      <c r="AQ165" s="41"/>
      <c r="AR165" s="41"/>
      <c r="AT165" s="95"/>
      <c r="AU165" s="96"/>
      <c r="AV165" s="97"/>
    </row>
    <row r="166" spans="1:67" x14ac:dyDescent="0.25">
      <c r="A166" s="11" t="s">
        <v>1145</v>
      </c>
      <c r="B166" s="87" t="s">
        <v>87</v>
      </c>
      <c r="C166" s="3">
        <v>2010</v>
      </c>
      <c r="D166" s="1">
        <f t="shared" si="56"/>
        <v>39</v>
      </c>
      <c r="I166" s="267"/>
      <c r="J166" s="267"/>
      <c r="K166" s="267"/>
      <c r="L166" s="267">
        <f>12+27</f>
        <v>39</v>
      </c>
      <c r="M166" s="267"/>
      <c r="N166" s="267">
        <f t="shared" si="59"/>
        <v>0</v>
      </c>
      <c r="P166" s="96">
        <f t="shared" si="57"/>
        <v>39</v>
      </c>
      <c r="Q166" s="97">
        <f t="shared" si="60"/>
        <v>39</v>
      </c>
      <c r="R166" s="267"/>
    </row>
    <row r="167" spans="1:67" s="17" customFormat="1" x14ac:dyDescent="0.25">
      <c r="A167" s="11" t="s">
        <v>975</v>
      </c>
      <c r="B167" s="60" t="s">
        <v>63</v>
      </c>
      <c r="C167" s="62">
        <v>2011</v>
      </c>
      <c r="D167" s="1">
        <f t="shared" si="56"/>
        <v>6</v>
      </c>
      <c r="E167" s="283"/>
      <c r="F167" s="278"/>
      <c r="G167" s="120"/>
      <c r="H167" s="280"/>
      <c r="I167" s="267"/>
      <c r="J167" s="267"/>
      <c r="K167" s="267"/>
      <c r="L167" s="267"/>
      <c r="M167" s="267"/>
      <c r="N167" s="267">
        <f t="shared" si="59"/>
        <v>6</v>
      </c>
      <c r="O167" s="120"/>
      <c r="P167" s="96">
        <f t="shared" si="57"/>
        <v>6</v>
      </c>
      <c r="Q167" s="97">
        <f t="shared" si="60"/>
        <v>6</v>
      </c>
      <c r="R167" s="267"/>
      <c r="S167" s="252">
        <f>6</f>
        <v>6</v>
      </c>
      <c r="T167" s="252">
        <f>0</f>
        <v>0</v>
      </c>
      <c r="U167" s="252"/>
      <c r="V167" s="252"/>
      <c r="W167" s="252"/>
      <c r="X167" s="252"/>
      <c r="Y167" s="215">
        <f>AK167</f>
        <v>0</v>
      </c>
      <c r="Z167" s="120"/>
      <c r="AA167" s="96">
        <f>S167+T167+U167+V167+W167+X167+Y167</f>
        <v>6</v>
      </c>
      <c r="AB167" s="97">
        <f>IF(C167=2012, AA167/3,AA167)+Z167</f>
        <v>6</v>
      </c>
      <c r="AC167" s="22"/>
      <c r="AD167" s="287"/>
      <c r="AE167" s="50"/>
      <c r="AF167" s="50"/>
      <c r="AG167" s="50"/>
      <c r="AH167" s="50"/>
      <c r="AI167" s="120"/>
      <c r="AJ167" s="96">
        <f>SUM(AD167:AH167)</f>
        <v>0</v>
      </c>
      <c r="AK167" s="97">
        <f>IF(C167=2011, AJ167/3,AJ167)+AI167</f>
        <v>0</v>
      </c>
      <c r="AL167" s="22"/>
      <c r="AM167" s="41"/>
      <c r="AN167" s="41"/>
      <c r="AO167" s="41"/>
      <c r="AP167" s="41"/>
      <c r="AQ167" s="41"/>
      <c r="AR167" s="41"/>
      <c r="AS167" s="13"/>
      <c r="AT167" s="95"/>
      <c r="AU167" s="96"/>
      <c r="AV167" s="97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spans="1:67" x14ac:dyDescent="0.25">
      <c r="A168" s="60" t="s">
        <v>644</v>
      </c>
      <c r="B168" s="60" t="s">
        <v>111</v>
      </c>
      <c r="C168" s="62"/>
      <c r="D168" s="1">
        <f t="shared" si="56"/>
        <v>52.666666666666664</v>
      </c>
      <c r="H168" s="280"/>
      <c r="I168" s="267"/>
      <c r="J168" s="267"/>
      <c r="K168" s="267"/>
      <c r="L168" s="267"/>
      <c r="M168" s="267"/>
      <c r="N168" s="267">
        <f t="shared" si="59"/>
        <v>52.666666666666664</v>
      </c>
      <c r="P168" s="96">
        <f t="shared" si="57"/>
        <v>52.666666666666664</v>
      </c>
      <c r="Q168" s="97">
        <f t="shared" si="60"/>
        <v>52.666666666666664</v>
      </c>
      <c r="R168" s="267"/>
      <c r="S168" s="267"/>
      <c r="T168" s="267"/>
      <c r="U168" s="267"/>
      <c r="V168" s="267"/>
      <c r="W168" s="267"/>
      <c r="X168" s="267"/>
      <c r="Y168" s="215">
        <f>AK168</f>
        <v>52.666666666666664</v>
      </c>
      <c r="Z168" s="120"/>
      <c r="AA168" s="96">
        <f>S168+T168+U168+V168+W168+X168+Y168</f>
        <v>52.666666666666664</v>
      </c>
      <c r="AB168" s="97">
        <f>IF(C168=2012, AA168/3,AA168)+Z168</f>
        <v>52.666666666666664</v>
      </c>
      <c r="AC168" s="22"/>
      <c r="AD168" s="267"/>
      <c r="AE168" s="50"/>
      <c r="AF168" s="50">
        <f>10</f>
        <v>10</v>
      </c>
      <c r="AG168" s="50"/>
      <c r="AH168" s="50">
        <f>128/3</f>
        <v>42.666666666666664</v>
      </c>
      <c r="AI168" s="120"/>
      <c r="AJ168" s="96">
        <f>SUM(AD168:AH168)</f>
        <v>52.666666666666664</v>
      </c>
      <c r="AK168" s="97">
        <f>IF(C168=2011, AJ168/3,AJ168)+AI168</f>
        <v>52.666666666666664</v>
      </c>
      <c r="AL168" s="22"/>
      <c r="AT168" s="95"/>
      <c r="AU168" s="96"/>
      <c r="AV168" s="97"/>
    </row>
    <row r="169" spans="1:67" x14ac:dyDescent="0.25">
      <c r="A169" s="11" t="s">
        <v>564</v>
      </c>
      <c r="B169" s="11" t="s">
        <v>64</v>
      </c>
      <c r="C169" s="3">
        <v>2011</v>
      </c>
      <c r="D169" s="1">
        <f t="shared" si="56"/>
        <v>65.666666666666657</v>
      </c>
      <c r="H169" s="290"/>
      <c r="I169" s="267"/>
      <c r="J169" s="267"/>
      <c r="K169" s="267"/>
      <c r="L169" s="267"/>
      <c r="M169" s="267"/>
      <c r="N169" s="267">
        <f t="shared" si="59"/>
        <v>65.666666666666657</v>
      </c>
      <c r="P169" s="96">
        <f t="shared" si="57"/>
        <v>65.666666666666657</v>
      </c>
      <c r="Q169" s="97">
        <f t="shared" si="60"/>
        <v>65.666666666666657</v>
      </c>
      <c r="R169" s="267"/>
      <c r="S169" s="201"/>
      <c r="T169" s="192"/>
      <c r="U169" s="183"/>
      <c r="V169" s="168"/>
      <c r="W169" s="50">
        <f>3+18</f>
        <v>21</v>
      </c>
      <c r="X169" s="50">
        <f>9</f>
        <v>9</v>
      </c>
      <c r="Y169" s="215">
        <f>AK169</f>
        <v>35.666666666666664</v>
      </c>
      <c r="Z169" s="120"/>
      <c r="AA169" s="96">
        <f>S169+T169+U169+V169+W169+X169+Y169</f>
        <v>65.666666666666657</v>
      </c>
      <c r="AB169" s="97">
        <f>IF(C169=2012, AA169/3,AA169)+Z169</f>
        <v>65.666666666666657</v>
      </c>
      <c r="AC169" s="287"/>
      <c r="AD169" s="287"/>
      <c r="AE169" s="50">
        <f>45</f>
        <v>45</v>
      </c>
      <c r="AF169" s="50">
        <f>62</f>
        <v>62</v>
      </c>
      <c r="AG169" s="50"/>
      <c r="AH169" s="50"/>
      <c r="AI169" s="120"/>
      <c r="AJ169" s="96">
        <f>SUM(AD169:AH169)</f>
        <v>107</v>
      </c>
      <c r="AK169" s="97">
        <f>IF(C169=2011, AJ169/3,AJ169)+AI169</f>
        <v>35.666666666666664</v>
      </c>
      <c r="AL169" s="22"/>
      <c r="AM169" s="267"/>
      <c r="AN169" s="267"/>
      <c r="AO169" s="267"/>
      <c r="AP169" s="267"/>
      <c r="AQ169" s="267"/>
      <c r="AR169" s="267"/>
      <c r="AS169" s="265"/>
      <c r="AT169" s="95"/>
      <c r="AU169" s="96"/>
      <c r="AV169" s="97"/>
    </row>
    <row r="170" spans="1:67" x14ac:dyDescent="0.25">
      <c r="A170" s="11" t="s">
        <v>766</v>
      </c>
      <c r="B170" s="11" t="s">
        <v>64</v>
      </c>
      <c r="C170" s="3">
        <v>2013</v>
      </c>
      <c r="D170" s="1">
        <f t="shared" si="56"/>
        <v>24.333333333333332</v>
      </c>
      <c r="E170" s="287">
        <f>0</f>
        <v>0</v>
      </c>
      <c r="F170" s="287"/>
      <c r="I170" s="261">
        <f>48</f>
        <v>48</v>
      </c>
      <c r="J170" s="246">
        <f>0</f>
        <v>0</v>
      </c>
      <c r="K170" s="241">
        <f>0</f>
        <v>0</v>
      </c>
      <c r="L170" s="228">
        <f>8</f>
        <v>8</v>
      </c>
      <c r="N170" s="267">
        <f t="shared" si="59"/>
        <v>17</v>
      </c>
      <c r="P170" s="96">
        <f t="shared" si="57"/>
        <v>73</v>
      </c>
      <c r="Q170" s="97">
        <f t="shared" si="60"/>
        <v>24.333333333333332</v>
      </c>
      <c r="S170" s="256"/>
      <c r="T170" s="256"/>
      <c r="U170" s="256"/>
      <c r="V170" s="256">
        <f>6</f>
        <v>6</v>
      </c>
      <c r="W170" s="256">
        <f>0</f>
        <v>0</v>
      </c>
      <c r="X170" s="256">
        <f>11</f>
        <v>11</v>
      </c>
      <c r="Y170" s="215">
        <f>AK170</f>
        <v>0</v>
      </c>
      <c r="Z170" s="152"/>
      <c r="AA170" s="96">
        <f>AM170+S170+T170+U170+V170+W170+X170+Y170</f>
        <v>17</v>
      </c>
      <c r="AB170" s="97">
        <f>IF(C170=2017, AA170/3,AA170)+Z170</f>
        <v>17</v>
      </c>
      <c r="AC170" s="290"/>
      <c r="AD170" s="290"/>
      <c r="AE170" s="50"/>
      <c r="AF170" s="50"/>
      <c r="AG170" s="50"/>
      <c r="AH170" s="50"/>
      <c r="AI170" s="120"/>
      <c r="AJ170" s="96">
        <f>SUM(AE170:AH170)</f>
        <v>0</v>
      </c>
      <c r="AK170" s="97">
        <f>IF(C170=2016, AJ170/3,AJ170)+AI170</f>
        <v>0</v>
      </c>
      <c r="AL170" s="22"/>
      <c r="AM170" s="287"/>
      <c r="AN170" s="287"/>
      <c r="AO170" s="287"/>
      <c r="AP170" s="287"/>
      <c r="AQ170" s="287"/>
      <c r="AR170" s="287"/>
      <c r="AS170" s="285"/>
      <c r="AT170" s="95"/>
      <c r="AU170" s="96"/>
      <c r="AV170" s="97"/>
    </row>
    <row r="171" spans="1:67" x14ac:dyDescent="0.25">
      <c r="A171" s="45" t="s">
        <v>1085</v>
      </c>
      <c r="B171" s="66" t="s">
        <v>834</v>
      </c>
      <c r="C171" s="46">
        <v>2013</v>
      </c>
      <c r="D171" s="1">
        <f t="shared" si="56"/>
        <v>51</v>
      </c>
      <c r="E171" s="283">
        <f>36</f>
        <v>36</v>
      </c>
      <c r="I171" s="154"/>
      <c r="J171" s="154">
        <f>45</f>
        <v>45</v>
      </c>
      <c r="K171" s="154">
        <f>0</f>
        <v>0</v>
      </c>
      <c r="L171" s="154">
        <f>0</f>
        <v>0</v>
      </c>
      <c r="M171" s="154"/>
      <c r="N171" s="267">
        <f t="shared" si="59"/>
        <v>0</v>
      </c>
      <c r="P171" s="96">
        <f t="shared" si="57"/>
        <v>45</v>
      </c>
      <c r="Q171" s="97">
        <f t="shared" si="60"/>
        <v>15</v>
      </c>
      <c r="R171" s="154"/>
      <c r="Y171" s="215"/>
      <c r="Z171" s="152"/>
      <c r="AA171" s="96"/>
      <c r="AB171" s="97"/>
      <c r="AE171" s="50"/>
      <c r="AF171" s="50"/>
      <c r="AG171" s="50"/>
      <c r="AH171" s="50"/>
      <c r="AI171" s="120"/>
      <c r="AJ171" s="96"/>
      <c r="AK171" s="97"/>
      <c r="AL171" s="101"/>
      <c r="AM171" s="151"/>
      <c r="AN171" s="151"/>
      <c r="AO171" s="151"/>
      <c r="AP171" s="151"/>
      <c r="AQ171" s="151"/>
      <c r="AR171" s="151"/>
      <c r="AT171" s="95"/>
      <c r="AU171" s="96"/>
      <c r="AV171" s="97"/>
    </row>
    <row r="172" spans="1:67" x14ac:dyDescent="0.25">
      <c r="A172" s="11" t="s">
        <v>955</v>
      </c>
      <c r="B172" s="11" t="s">
        <v>63</v>
      </c>
      <c r="C172" s="3">
        <v>2013</v>
      </c>
      <c r="D172" s="1">
        <f t="shared" si="56"/>
        <v>0</v>
      </c>
      <c r="H172" s="280"/>
      <c r="J172" s="256"/>
      <c r="K172" s="256"/>
      <c r="L172" s="256"/>
      <c r="M172" s="256"/>
      <c r="N172" s="267">
        <f t="shared" si="59"/>
        <v>0</v>
      </c>
      <c r="P172" s="96">
        <f t="shared" si="57"/>
        <v>0</v>
      </c>
      <c r="Q172" s="97">
        <f t="shared" si="60"/>
        <v>0</v>
      </c>
      <c r="R172" s="256"/>
      <c r="S172" s="267">
        <f>0</f>
        <v>0</v>
      </c>
      <c r="T172" s="267">
        <f>0</f>
        <v>0</v>
      </c>
      <c r="U172" s="267"/>
      <c r="V172" s="267"/>
      <c r="W172" s="267"/>
      <c r="X172" s="267"/>
      <c r="Y172" s="215">
        <f>AK172</f>
        <v>0</v>
      </c>
      <c r="Z172" s="152"/>
      <c r="AA172" s="96">
        <f>AM172+S172+T172+U172+V172+W172+X172+Y172</f>
        <v>0</v>
      </c>
      <c r="AB172" s="97">
        <f>IF(C172=2017, AA172/3,AA172)+Z172</f>
        <v>0</v>
      </c>
      <c r="AE172" s="50"/>
      <c r="AF172" s="50"/>
      <c r="AG172" s="50"/>
      <c r="AH172" s="50"/>
      <c r="AI172" s="120"/>
      <c r="AJ172" s="96">
        <f>SUM(AE172:AH172)</f>
        <v>0</v>
      </c>
      <c r="AK172" s="97">
        <f>IF(C172=2016, AJ172/3,AJ172)+AI172</f>
        <v>0</v>
      </c>
      <c r="AL172" s="22"/>
      <c r="AM172" s="287"/>
      <c r="AN172" s="287"/>
      <c r="AO172" s="287"/>
      <c r="AP172" s="287"/>
      <c r="AQ172" s="287"/>
      <c r="AR172" s="287"/>
      <c r="AS172" s="285"/>
      <c r="AT172" s="95"/>
      <c r="AU172" s="96"/>
      <c r="AV172" s="97"/>
    </row>
    <row r="173" spans="1:67" x14ac:dyDescent="0.25">
      <c r="A173" s="45" t="s">
        <v>1249</v>
      </c>
      <c r="B173" s="11" t="s">
        <v>697</v>
      </c>
      <c r="C173" s="46">
        <v>2012</v>
      </c>
      <c r="D173" s="1">
        <f>Q173+F173+E173</f>
        <v>30</v>
      </c>
      <c r="E173" s="154"/>
      <c r="F173" s="154"/>
      <c r="I173" s="154">
        <f>30</f>
        <v>30</v>
      </c>
      <c r="J173" s="154"/>
      <c r="K173" s="154">
        <f>0</f>
        <v>0</v>
      </c>
      <c r="L173" s="154"/>
      <c r="M173" s="154"/>
      <c r="N173" s="267">
        <f t="shared" si="59"/>
        <v>0</v>
      </c>
      <c r="P173" s="96">
        <f>I173+J173+K173+L173+M173+N173</f>
        <v>30</v>
      </c>
      <c r="Q173" s="97">
        <f t="shared" si="60"/>
        <v>30</v>
      </c>
      <c r="R173" s="154"/>
      <c r="Y173" s="215"/>
      <c r="Z173" s="152"/>
      <c r="AA173" s="96"/>
      <c r="AB173" s="97"/>
      <c r="AE173" s="50"/>
      <c r="AF173" s="50"/>
      <c r="AG173" s="50"/>
      <c r="AH173" s="50"/>
      <c r="AI173" s="120"/>
      <c r="AJ173" s="96"/>
      <c r="AK173" s="97"/>
      <c r="AL173" s="101"/>
      <c r="AM173" s="151"/>
      <c r="AN173" s="151"/>
      <c r="AO173" s="151"/>
      <c r="AP173" s="151"/>
      <c r="AQ173" s="151"/>
      <c r="AR173" s="151"/>
      <c r="AT173" s="95"/>
      <c r="AU173" s="96"/>
      <c r="AV173" s="97"/>
    </row>
    <row r="174" spans="1:67" x14ac:dyDescent="0.25">
      <c r="A174" s="11" t="s">
        <v>989</v>
      </c>
      <c r="B174" s="11" t="s">
        <v>86</v>
      </c>
      <c r="C174" s="3">
        <v>2012</v>
      </c>
      <c r="D174" s="1">
        <f t="shared" ref="D174:D207" si="61">Q174+E174</f>
        <v>10.333333333333334</v>
      </c>
      <c r="I174" s="267"/>
      <c r="J174" s="267"/>
      <c r="K174" s="267"/>
      <c r="L174" s="267"/>
      <c r="M174" s="267"/>
      <c r="N174" s="267">
        <f t="shared" si="59"/>
        <v>10.333333333333334</v>
      </c>
      <c r="P174" s="96">
        <f t="shared" ref="P174:P207" si="62">I174+J174+K174+L174+N174</f>
        <v>10.333333333333334</v>
      </c>
      <c r="Q174" s="97">
        <f t="shared" si="60"/>
        <v>10.333333333333334</v>
      </c>
      <c r="R174" s="267"/>
      <c r="S174" s="201">
        <f>31</f>
        <v>31</v>
      </c>
      <c r="T174" s="192"/>
      <c r="U174" s="183"/>
      <c r="V174" s="168"/>
      <c r="W174" s="50"/>
      <c r="X174" s="50"/>
      <c r="Y174" s="215">
        <f t="shared" ref="Y174:Y179" si="63">AK174</f>
        <v>0</v>
      </c>
      <c r="Z174" s="152"/>
      <c r="AA174" s="96">
        <f>S174+T174+U174+V174+W174+X174+Y174</f>
        <v>31</v>
      </c>
      <c r="AB174" s="97">
        <f>IF(C174=2012, AA174/3,AA174)+Z174</f>
        <v>10.333333333333334</v>
      </c>
      <c r="AE174" s="50"/>
      <c r="AF174" s="50"/>
      <c r="AG174" s="50"/>
      <c r="AH174" s="50"/>
      <c r="AI174" s="120"/>
      <c r="AJ174" s="96">
        <f>SUM(AD174:AH174)</f>
        <v>0</v>
      </c>
      <c r="AK174" s="97">
        <f>IF(C174=2011, AJ174/3,AJ174)+AI174</f>
        <v>0</v>
      </c>
      <c r="AL174" s="22"/>
      <c r="AM174" s="267"/>
      <c r="AN174" s="267"/>
      <c r="AO174" s="267"/>
      <c r="AP174" s="267"/>
      <c r="AQ174" s="267"/>
      <c r="AR174" s="267"/>
      <c r="AS174" s="265"/>
      <c r="AT174" s="95"/>
      <c r="AU174" s="96"/>
      <c r="AV174" s="97"/>
    </row>
    <row r="175" spans="1:67" x14ac:dyDescent="0.25">
      <c r="A175" s="11" t="s">
        <v>662</v>
      </c>
      <c r="B175" s="60" t="s">
        <v>658</v>
      </c>
      <c r="C175" s="62"/>
      <c r="D175" s="1">
        <f t="shared" si="61"/>
        <v>90</v>
      </c>
      <c r="H175" s="280"/>
      <c r="N175" s="267">
        <f t="shared" si="59"/>
        <v>90</v>
      </c>
      <c r="P175" s="96">
        <f t="shared" si="62"/>
        <v>90</v>
      </c>
      <c r="Q175" s="97">
        <f t="shared" si="60"/>
        <v>90</v>
      </c>
      <c r="S175" s="201"/>
      <c r="T175" s="192"/>
      <c r="U175" s="183"/>
      <c r="V175" s="168"/>
      <c r="W175" s="50"/>
      <c r="X175" s="50"/>
      <c r="Y175" s="215">
        <f t="shared" si="63"/>
        <v>90</v>
      </c>
      <c r="Z175" s="120"/>
      <c r="AA175" s="96">
        <f>S175+T175+U175+V175+W175+X175+Y175</f>
        <v>90</v>
      </c>
      <c r="AB175" s="97">
        <f>IF(C175=2012, AA175/3,AA175)+Z175</f>
        <v>90</v>
      </c>
      <c r="AC175" s="22"/>
      <c r="AD175" s="50"/>
      <c r="AE175" s="50"/>
      <c r="AF175" s="50">
        <f>90</f>
        <v>90</v>
      </c>
      <c r="AG175" s="50"/>
      <c r="AH175" s="50"/>
      <c r="AI175" s="120"/>
      <c r="AJ175" s="96">
        <f>SUM(AD175:AH175)</f>
        <v>90</v>
      </c>
      <c r="AK175" s="97">
        <f>IF(C175=2011, AJ175/3,AJ175)+AI175</f>
        <v>90</v>
      </c>
      <c r="AL175" s="22"/>
      <c r="AM175" s="41"/>
      <c r="AN175" s="41"/>
      <c r="AO175" s="41"/>
      <c r="AP175" s="41"/>
      <c r="AQ175" s="41"/>
      <c r="AR175" s="41"/>
      <c r="AT175" s="95"/>
      <c r="AU175" s="96"/>
      <c r="AV175" s="97"/>
    </row>
    <row r="176" spans="1:67" s="52" customFormat="1" x14ac:dyDescent="0.25">
      <c r="A176" s="11" t="s">
        <v>999</v>
      </c>
      <c r="B176" s="11" t="s">
        <v>86</v>
      </c>
      <c r="C176" s="3">
        <v>2012</v>
      </c>
      <c r="D176" s="1">
        <f t="shared" si="61"/>
        <v>1</v>
      </c>
      <c r="E176" s="283"/>
      <c r="F176" s="278"/>
      <c r="G176" s="120"/>
      <c r="H176" s="290"/>
      <c r="I176" s="261"/>
      <c r="J176" s="246"/>
      <c r="K176" s="241"/>
      <c r="L176" s="231">
        <f>0+1</f>
        <v>1</v>
      </c>
      <c r="M176" s="231"/>
      <c r="N176" s="267">
        <f t="shared" si="59"/>
        <v>0</v>
      </c>
      <c r="O176" s="120"/>
      <c r="P176" s="96">
        <f t="shared" si="62"/>
        <v>1</v>
      </c>
      <c r="Q176" s="97">
        <f t="shared" si="60"/>
        <v>1</v>
      </c>
      <c r="R176" s="231"/>
      <c r="S176" s="201">
        <f>0</f>
        <v>0</v>
      </c>
      <c r="T176" s="192"/>
      <c r="U176" s="183"/>
      <c r="V176" s="168"/>
      <c r="W176" s="50"/>
      <c r="X176" s="50"/>
      <c r="Y176" s="215">
        <f t="shared" si="63"/>
        <v>0</v>
      </c>
      <c r="Z176" s="152"/>
      <c r="AA176" s="96">
        <f>S176+T176+U176+V176+W176+X176+Y176</f>
        <v>0</v>
      </c>
      <c r="AB176" s="97">
        <f>IF(C176=2012, AA176/3,AA176)+Z176</f>
        <v>0</v>
      </c>
      <c r="AC176" s="13"/>
      <c r="AD176" s="13"/>
      <c r="AE176" s="50"/>
      <c r="AF176" s="50"/>
      <c r="AG176" s="50"/>
      <c r="AH176" s="50"/>
      <c r="AI176" s="120"/>
      <c r="AJ176" s="96">
        <f>SUM(AD176:AH176)</f>
        <v>0</v>
      </c>
      <c r="AK176" s="97">
        <f>IF(C176=2011, AJ176/3,AJ176)+AI176</f>
        <v>0</v>
      </c>
      <c r="AL176" s="22"/>
      <c r="AM176" s="267"/>
      <c r="AN176" s="267"/>
      <c r="AO176" s="267"/>
      <c r="AP176" s="267"/>
      <c r="AQ176" s="267"/>
      <c r="AR176" s="267"/>
      <c r="AS176" s="265"/>
      <c r="AT176" s="95"/>
      <c r="AU176" s="96"/>
      <c r="AV176" s="97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spans="1:67" x14ac:dyDescent="0.25">
      <c r="A177" s="11" t="s">
        <v>142</v>
      </c>
      <c r="B177" s="60" t="s">
        <v>111</v>
      </c>
      <c r="C177" s="62">
        <v>2010</v>
      </c>
      <c r="D177" s="1">
        <f t="shared" si="61"/>
        <v>136.33333333333331</v>
      </c>
      <c r="E177" s="108"/>
      <c r="F177" s="108"/>
      <c r="H177" s="101"/>
      <c r="J177" s="252"/>
      <c r="K177" s="252"/>
      <c r="L177" s="252"/>
      <c r="M177" s="252"/>
      <c r="N177" s="267">
        <f t="shared" si="59"/>
        <v>136.33333333333331</v>
      </c>
      <c r="P177" s="96">
        <f t="shared" si="62"/>
        <v>136.33333333333331</v>
      </c>
      <c r="Q177" s="97">
        <f t="shared" si="60"/>
        <v>136.33333333333331</v>
      </c>
      <c r="R177" s="252"/>
      <c r="S177" s="201"/>
      <c r="T177" s="192"/>
      <c r="U177" s="183"/>
      <c r="V177" s="168"/>
      <c r="W177" s="50"/>
      <c r="X177" s="50"/>
      <c r="Y177" s="215">
        <f t="shared" si="63"/>
        <v>136.33333333333331</v>
      </c>
      <c r="Z177" s="120"/>
      <c r="AA177" s="96">
        <f>S177+T177+U177+V177+W177+X177+Y177</f>
        <v>136.33333333333331</v>
      </c>
      <c r="AB177" s="97">
        <f>IF(C177=2012, AA177/3,AA177)+Z177</f>
        <v>136.33333333333331</v>
      </c>
      <c r="AC177" s="22"/>
      <c r="AD177" s="215"/>
      <c r="AE177" s="50">
        <f>22</f>
        <v>22</v>
      </c>
      <c r="AF177" s="50">
        <f>41+8</f>
        <v>49</v>
      </c>
      <c r="AG177" s="50"/>
      <c r="AH177" s="50">
        <f>AV177</f>
        <v>65.333333333333329</v>
      </c>
      <c r="AI177" s="120"/>
      <c r="AJ177" s="96">
        <f>SUM(AD177:AH177)</f>
        <v>136.33333333333331</v>
      </c>
      <c r="AK177" s="97">
        <f>IF(C177=2011, AJ177/3,AJ177)+AI177</f>
        <v>136.33333333333331</v>
      </c>
      <c r="AL177" s="22"/>
      <c r="AM177" s="41"/>
      <c r="AN177" s="41">
        <f>0+5</f>
        <v>5</v>
      </c>
      <c r="AO177" s="41"/>
      <c r="AP177" s="41">
        <f>45+6</f>
        <v>51</v>
      </c>
      <c r="AQ177" s="41">
        <f>48+15</f>
        <v>63</v>
      </c>
      <c r="AR177" s="41">
        <f>47+30</f>
        <v>77</v>
      </c>
      <c r="AT177" s="95"/>
      <c r="AU177" s="96">
        <f>SUM(AM177:AS177)</f>
        <v>196</v>
      </c>
      <c r="AV177" s="97">
        <f>IF(C177=2010, AU177/3,AU177)+AT177</f>
        <v>65.333333333333329</v>
      </c>
    </row>
    <row r="178" spans="1:67" x14ac:dyDescent="0.25">
      <c r="A178" s="11" t="s">
        <v>810</v>
      </c>
      <c r="B178" s="11" t="s">
        <v>583</v>
      </c>
      <c r="C178" s="3">
        <v>2013</v>
      </c>
      <c r="D178" s="1">
        <f t="shared" si="61"/>
        <v>1</v>
      </c>
      <c r="H178" s="280"/>
      <c r="J178" s="256"/>
      <c r="K178" s="256"/>
      <c r="L178" s="256"/>
      <c r="M178" s="256"/>
      <c r="N178" s="267">
        <f t="shared" si="59"/>
        <v>3</v>
      </c>
      <c r="P178" s="96">
        <f t="shared" si="62"/>
        <v>3</v>
      </c>
      <c r="Q178" s="97">
        <f t="shared" si="60"/>
        <v>1</v>
      </c>
      <c r="R178" s="256"/>
      <c r="S178" s="201"/>
      <c r="T178" s="192"/>
      <c r="U178" s="183"/>
      <c r="V178" s="168"/>
      <c r="W178" s="50"/>
      <c r="X178" s="50">
        <f>3</f>
        <v>3</v>
      </c>
      <c r="Y178" s="215">
        <f t="shared" si="63"/>
        <v>0</v>
      </c>
      <c r="Z178" s="152"/>
      <c r="AA178" s="96">
        <f>AM178+S178+T178+U178+V178+W178+X178+Y178</f>
        <v>3</v>
      </c>
      <c r="AB178" s="97">
        <f>IF(C178=2017, AA178/3,AA178)+Z178</f>
        <v>3</v>
      </c>
      <c r="AC178" s="269"/>
      <c r="AD178" s="269"/>
      <c r="AE178" s="50"/>
      <c r="AF178" s="50"/>
      <c r="AG178" s="50"/>
      <c r="AH178" s="50"/>
      <c r="AI178" s="120"/>
      <c r="AJ178" s="96">
        <f>SUM(AE178:AH178)</f>
        <v>0</v>
      </c>
      <c r="AK178" s="97">
        <f>IF(C178=2016, AJ178/3,AJ178)+AI178</f>
        <v>0</v>
      </c>
      <c r="AL178" s="22"/>
      <c r="AM178" s="287"/>
      <c r="AN178" s="287"/>
      <c r="AO178" s="287"/>
      <c r="AP178" s="287"/>
      <c r="AQ178" s="287"/>
      <c r="AR178" s="287"/>
      <c r="AS178" s="285"/>
      <c r="AT178" s="95"/>
      <c r="AU178" s="96"/>
      <c r="AV178" s="97"/>
    </row>
    <row r="179" spans="1:67" x14ac:dyDescent="0.25">
      <c r="A179" s="11" t="s">
        <v>912</v>
      </c>
      <c r="B179" s="60" t="s">
        <v>296</v>
      </c>
      <c r="C179" s="62">
        <v>2010</v>
      </c>
      <c r="D179" s="1">
        <f t="shared" si="61"/>
        <v>1</v>
      </c>
      <c r="N179" s="267">
        <f t="shared" si="59"/>
        <v>1</v>
      </c>
      <c r="P179" s="96">
        <f t="shared" si="62"/>
        <v>1</v>
      </c>
      <c r="Q179" s="97">
        <f t="shared" si="60"/>
        <v>1</v>
      </c>
      <c r="S179" s="267"/>
      <c r="T179" s="267"/>
      <c r="U179" s="267"/>
      <c r="V179" s="267">
        <f>1</f>
        <v>1</v>
      </c>
      <c r="W179" s="267"/>
      <c r="X179" s="267"/>
      <c r="Y179" s="215">
        <f t="shared" si="63"/>
        <v>0</v>
      </c>
      <c r="Z179" s="120"/>
      <c r="AA179" s="96">
        <f>S179+T179+U179+V179+W179+X179+Y179</f>
        <v>1</v>
      </c>
      <c r="AB179" s="97">
        <f>IF(C179=2012, AA179/3,AA179)+Z179</f>
        <v>1</v>
      </c>
      <c r="AC179" s="22"/>
      <c r="AD179" s="267"/>
      <c r="AE179" s="50"/>
      <c r="AF179" s="50"/>
      <c r="AG179" s="50"/>
      <c r="AH179" s="50"/>
      <c r="AI179" s="120"/>
      <c r="AJ179" s="96">
        <f>SUM(AD179:AH179)</f>
        <v>0</v>
      </c>
      <c r="AK179" s="97">
        <f>IF(C179=2011, AJ179/3,AJ179)+AI179</f>
        <v>0</v>
      </c>
      <c r="AL179" s="22"/>
      <c r="AM179" s="41"/>
      <c r="AN179" s="41"/>
      <c r="AO179" s="41"/>
      <c r="AP179" s="41"/>
      <c r="AQ179" s="41"/>
      <c r="AR179" s="41"/>
      <c r="AT179" s="95"/>
      <c r="AU179" s="96"/>
      <c r="AV179" s="97"/>
    </row>
    <row r="180" spans="1:67" x14ac:dyDescent="0.25">
      <c r="A180" s="11" t="s">
        <v>1158</v>
      </c>
      <c r="B180" s="60" t="s">
        <v>86</v>
      </c>
      <c r="C180" s="62">
        <v>2011</v>
      </c>
      <c r="D180" s="1">
        <f t="shared" si="61"/>
        <v>0</v>
      </c>
      <c r="J180" s="252"/>
      <c r="K180" s="252"/>
      <c r="L180" s="252">
        <f>0</f>
        <v>0</v>
      </c>
      <c r="M180" s="252"/>
      <c r="N180" s="267">
        <f t="shared" si="59"/>
        <v>0</v>
      </c>
      <c r="P180" s="96">
        <f t="shared" si="62"/>
        <v>0</v>
      </c>
      <c r="Q180" s="97">
        <f t="shared" si="60"/>
        <v>0</v>
      </c>
      <c r="R180" s="252"/>
      <c r="S180" s="201"/>
      <c r="T180" s="192"/>
      <c r="U180" s="183"/>
      <c r="V180" s="168"/>
      <c r="W180" s="50"/>
      <c r="X180" s="50"/>
      <c r="Y180" s="215"/>
      <c r="Z180" s="120"/>
      <c r="AA180" s="96"/>
      <c r="AB180" s="97"/>
      <c r="AC180" s="22"/>
      <c r="AD180" s="201"/>
      <c r="AE180" s="50"/>
      <c r="AF180" s="50"/>
      <c r="AG180" s="50"/>
      <c r="AH180" s="50"/>
      <c r="AI180" s="120"/>
      <c r="AJ180" s="96"/>
      <c r="AK180" s="97"/>
      <c r="AL180" s="22"/>
      <c r="AM180" s="41"/>
      <c r="AN180" s="41"/>
      <c r="AO180" s="41"/>
      <c r="AP180" s="41"/>
      <c r="AQ180" s="41"/>
      <c r="AR180" s="41"/>
      <c r="AT180" s="95"/>
      <c r="AU180" s="96"/>
      <c r="AV180" s="97"/>
      <c r="AW180" s="74"/>
    </row>
    <row r="181" spans="1:67" x14ac:dyDescent="0.25">
      <c r="A181" s="51" t="s">
        <v>38</v>
      </c>
      <c r="B181" s="51" t="s">
        <v>23</v>
      </c>
      <c r="C181" s="52">
        <v>2012</v>
      </c>
      <c r="D181" s="1">
        <f t="shared" si="61"/>
        <v>56.333333333333336</v>
      </c>
      <c r="E181" s="108"/>
      <c r="F181" s="108"/>
      <c r="H181" s="101"/>
      <c r="J181" s="256"/>
      <c r="K181" s="256"/>
      <c r="L181" s="256"/>
      <c r="M181" s="256"/>
      <c r="N181" s="267">
        <f t="shared" si="59"/>
        <v>56.333333333333336</v>
      </c>
      <c r="P181" s="96">
        <f t="shared" si="62"/>
        <v>56.333333333333336</v>
      </c>
      <c r="Q181" s="97">
        <f t="shared" si="60"/>
        <v>56.333333333333336</v>
      </c>
      <c r="R181" s="256"/>
      <c r="S181" s="267"/>
      <c r="T181" s="267"/>
      <c r="U181" s="267"/>
      <c r="V181" s="267"/>
      <c r="W181" s="267"/>
      <c r="X181" s="267"/>
      <c r="Y181" s="215">
        <f t="shared" ref="Y181:Y192" si="64">AK181</f>
        <v>169</v>
      </c>
      <c r="Z181" s="120"/>
      <c r="AA181" s="96">
        <f>S181+T181+U181+V181+W181+X181+Y181</f>
        <v>169</v>
      </c>
      <c r="AB181" s="97">
        <f>IF(C181=2012, AA181/3,AA181)+Z181</f>
        <v>56.333333333333336</v>
      </c>
      <c r="AC181" s="290"/>
      <c r="AD181" s="290"/>
      <c r="AE181" s="50"/>
      <c r="AF181" s="50"/>
      <c r="AG181" s="50"/>
      <c r="AH181" s="50">
        <f>AV181</f>
        <v>169</v>
      </c>
      <c r="AI181" s="120"/>
      <c r="AJ181" s="96">
        <f>SUM(AD181:AH181)</f>
        <v>169</v>
      </c>
      <c r="AK181" s="97">
        <f>IF(C181=2011, AJ181/3,AJ181)+AI181</f>
        <v>169</v>
      </c>
      <c r="AL181" s="22"/>
      <c r="AM181" s="267">
        <f>9</f>
        <v>9</v>
      </c>
      <c r="AN181" s="267"/>
      <c r="AO181" s="267"/>
      <c r="AP181" s="267"/>
      <c r="AQ181" s="267"/>
      <c r="AR181" s="267"/>
      <c r="AS181" s="287">
        <v>160</v>
      </c>
      <c r="AT181" s="95"/>
      <c r="AU181" s="96">
        <f>SUM(AM181:AS181)</f>
        <v>169</v>
      </c>
      <c r="AV181" s="97">
        <f>IF(C181=2015, AU181/3,AU181)+AT181</f>
        <v>169</v>
      </c>
      <c r="AW181" s="149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</row>
    <row r="182" spans="1:67" x14ac:dyDescent="0.25">
      <c r="A182" s="11" t="s">
        <v>475</v>
      </c>
      <c r="B182" s="60" t="s">
        <v>476</v>
      </c>
      <c r="C182" s="62">
        <v>2011</v>
      </c>
      <c r="D182" s="1">
        <f t="shared" si="61"/>
        <v>38</v>
      </c>
      <c r="J182" s="256"/>
      <c r="K182" s="256"/>
      <c r="L182" s="256"/>
      <c r="M182" s="256"/>
      <c r="N182" s="267">
        <f t="shared" si="59"/>
        <v>38</v>
      </c>
      <c r="P182" s="96">
        <f t="shared" si="62"/>
        <v>38</v>
      </c>
      <c r="Q182" s="97">
        <f t="shared" si="60"/>
        <v>38</v>
      </c>
      <c r="R182" s="256"/>
      <c r="S182" s="201"/>
      <c r="T182" s="192"/>
      <c r="U182" s="183"/>
      <c r="V182" s="168"/>
      <c r="W182" s="50"/>
      <c r="X182" s="50"/>
      <c r="Y182" s="215">
        <f t="shared" si="64"/>
        <v>38</v>
      </c>
      <c r="Z182" s="120"/>
      <c r="AA182" s="96">
        <f>S182+T182+U182+V182+W182+X182+Y182</f>
        <v>38</v>
      </c>
      <c r="AB182" s="97">
        <f>IF(C182=2012, AA182/3,AA182)+Z182</f>
        <v>38</v>
      </c>
      <c r="AC182" s="287"/>
      <c r="AD182" s="287"/>
      <c r="AE182" s="50">
        <f>36</f>
        <v>36</v>
      </c>
      <c r="AF182" s="50">
        <f>37</f>
        <v>37</v>
      </c>
      <c r="AG182" s="50">
        <f>0</f>
        <v>0</v>
      </c>
      <c r="AH182" s="50">
        <f>AV182</f>
        <v>17</v>
      </c>
      <c r="AI182" s="120">
        <f>5+3</f>
        <v>8</v>
      </c>
      <c r="AJ182" s="96">
        <f>SUM(AD182:AH182)</f>
        <v>90</v>
      </c>
      <c r="AK182" s="97">
        <f>IF(C182=2011, AJ182/3,AJ182)+AI182</f>
        <v>38</v>
      </c>
      <c r="AL182" s="22"/>
      <c r="AM182" s="267"/>
      <c r="AN182" s="267"/>
      <c r="AO182" s="267"/>
      <c r="AP182" s="267"/>
      <c r="AQ182" s="267"/>
      <c r="AR182" s="267">
        <f>17</f>
        <v>17</v>
      </c>
      <c r="AS182" s="265"/>
      <c r="AT182" s="95"/>
      <c r="AU182" s="96">
        <f>SUM(AM182:AS182)</f>
        <v>17</v>
      </c>
      <c r="AV182" s="97">
        <f>IF(C182=2015, AU182/3,AU182)+AT182</f>
        <v>17</v>
      </c>
    </row>
    <row r="183" spans="1:67" x14ac:dyDescent="0.25">
      <c r="A183" s="51" t="s">
        <v>490</v>
      </c>
      <c r="B183" s="51" t="s">
        <v>63</v>
      </c>
      <c r="C183" s="52">
        <v>2011</v>
      </c>
      <c r="D183" s="1">
        <f t="shared" si="61"/>
        <v>243</v>
      </c>
      <c r="E183" s="154">
        <f>0</f>
        <v>0</v>
      </c>
      <c r="F183" s="154"/>
      <c r="H183" s="280"/>
      <c r="I183" s="108">
        <f>12</f>
        <v>12</v>
      </c>
      <c r="J183" s="108">
        <f>0</f>
        <v>0</v>
      </c>
      <c r="K183" s="108">
        <f>8</f>
        <v>8</v>
      </c>
      <c r="L183" s="108"/>
      <c r="M183" s="108"/>
      <c r="N183" s="267">
        <f t="shared" si="59"/>
        <v>223</v>
      </c>
      <c r="P183" s="96">
        <f t="shared" si="62"/>
        <v>243</v>
      </c>
      <c r="Q183" s="97">
        <f t="shared" si="60"/>
        <v>243</v>
      </c>
      <c r="R183" s="108"/>
      <c r="S183" s="201">
        <f>10</f>
        <v>10</v>
      </c>
      <c r="T183" s="192">
        <f>0</f>
        <v>0</v>
      </c>
      <c r="U183" s="183">
        <f>3</f>
        <v>3</v>
      </c>
      <c r="V183" s="168">
        <f>6+6</f>
        <v>12</v>
      </c>
      <c r="W183" s="50">
        <f>9+6</f>
        <v>15</v>
      </c>
      <c r="X183" s="50">
        <f>9+9</f>
        <v>18</v>
      </c>
      <c r="Y183" s="215">
        <f t="shared" si="64"/>
        <v>165</v>
      </c>
      <c r="Z183" s="120"/>
      <c r="AA183" s="96">
        <f>S183+T183+U183+V183+W183+X183+Y183</f>
        <v>223</v>
      </c>
      <c r="AB183" s="97">
        <f>IF(C183=2012, AA183/3,AA183)+Z183</f>
        <v>223</v>
      </c>
      <c r="AC183" s="287"/>
      <c r="AD183" s="287"/>
      <c r="AE183" s="50"/>
      <c r="AF183" s="50">
        <f>126+72</f>
        <v>198</v>
      </c>
      <c r="AG183" s="50">
        <f>18+54</f>
        <v>72</v>
      </c>
      <c r="AH183" s="50">
        <f>AV183</f>
        <v>225</v>
      </c>
      <c r="AI183" s="120"/>
      <c r="AJ183" s="96">
        <f>SUM(AD183:AH183)</f>
        <v>495</v>
      </c>
      <c r="AK183" s="97">
        <f>IF(C183=2011, AJ183/3,AJ183)+AI183</f>
        <v>165</v>
      </c>
      <c r="AL183" s="22"/>
      <c r="AM183" s="256"/>
      <c r="AN183" s="256"/>
      <c r="AO183" s="256"/>
      <c r="AP183" s="256"/>
      <c r="AQ183" s="256"/>
      <c r="AR183" s="256">
        <f>48+60</f>
        <v>108</v>
      </c>
      <c r="AS183" s="149">
        <f>117</f>
        <v>117</v>
      </c>
      <c r="AT183" s="95"/>
      <c r="AU183" s="96">
        <f>SUM(AM183:AS183)</f>
        <v>225</v>
      </c>
      <c r="AV183" s="97">
        <f>IF(C183=2015, AU183/3,AU183)+AT183</f>
        <v>225</v>
      </c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</row>
    <row r="184" spans="1:67" s="17" customFormat="1" x14ac:dyDescent="0.25">
      <c r="A184" s="11" t="s">
        <v>457</v>
      </c>
      <c r="B184" s="60" t="s">
        <v>272</v>
      </c>
      <c r="C184" s="62">
        <v>2013</v>
      </c>
      <c r="D184" s="1">
        <f t="shared" si="61"/>
        <v>0</v>
      </c>
      <c r="E184" s="154"/>
      <c r="F184" s="154"/>
      <c r="G184" s="120"/>
      <c r="H184" s="13"/>
      <c r="I184" s="261"/>
      <c r="J184" s="246"/>
      <c r="K184" s="241"/>
      <c r="L184" s="231"/>
      <c r="M184" s="231"/>
      <c r="N184" s="267">
        <f t="shared" si="59"/>
        <v>0</v>
      </c>
      <c r="O184" s="120"/>
      <c r="P184" s="96">
        <f t="shared" si="62"/>
        <v>0</v>
      </c>
      <c r="Q184" s="97">
        <f t="shared" si="60"/>
        <v>0</v>
      </c>
      <c r="R184" s="231"/>
      <c r="S184" s="201"/>
      <c r="T184" s="192"/>
      <c r="U184" s="183"/>
      <c r="V184" s="168"/>
      <c r="W184" s="50"/>
      <c r="X184" s="50"/>
      <c r="Y184" s="215">
        <f t="shared" si="64"/>
        <v>0</v>
      </c>
      <c r="Z184" s="120"/>
      <c r="AA184" s="96">
        <f>AM184+S184+T184+U184+V184+W184+X184+Y184</f>
        <v>0</v>
      </c>
      <c r="AB184" s="97">
        <f>IF(C184=2017, AA184/3,AA184)+Z184</f>
        <v>0</v>
      </c>
      <c r="AC184" s="290"/>
      <c r="AD184" s="290"/>
      <c r="AE184" s="50"/>
      <c r="AF184" s="50"/>
      <c r="AG184" s="50"/>
      <c r="AH184" s="50">
        <f>AV184</f>
        <v>0</v>
      </c>
      <c r="AI184" s="120"/>
      <c r="AJ184" s="96">
        <f>SUM(AE184:AH184)</f>
        <v>0</v>
      </c>
      <c r="AK184" s="97">
        <f>IF(C184=2016, AJ184/3,AJ184)+AI184</f>
        <v>0</v>
      </c>
      <c r="AL184" s="22"/>
      <c r="AM184" s="256"/>
      <c r="AN184" s="256"/>
      <c r="AO184" s="256"/>
      <c r="AP184" s="256"/>
      <c r="AQ184" s="256">
        <f>0</f>
        <v>0</v>
      </c>
      <c r="AR184" s="256"/>
      <c r="AS184" s="254"/>
      <c r="AT184" s="95"/>
      <c r="AU184" s="96">
        <f>SUM(AM184:AS184)</f>
        <v>0</v>
      </c>
      <c r="AV184" s="97">
        <f>IF(C184=2015, AU184/3,AU184)+AT184</f>
        <v>0</v>
      </c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spans="1:67" s="52" customFormat="1" x14ac:dyDescent="0.25">
      <c r="A185" s="11" t="s">
        <v>313</v>
      </c>
      <c r="B185" s="60" t="s">
        <v>272</v>
      </c>
      <c r="C185" s="62">
        <v>2012</v>
      </c>
      <c r="D185" s="1">
        <f t="shared" si="61"/>
        <v>0</v>
      </c>
      <c r="E185" s="287"/>
      <c r="F185" s="287"/>
      <c r="G185" s="120"/>
      <c r="H185" s="290"/>
      <c r="I185" s="267"/>
      <c r="J185" s="267"/>
      <c r="K185" s="267"/>
      <c r="L185" s="267"/>
      <c r="M185" s="267"/>
      <c r="N185" s="267">
        <f t="shared" si="59"/>
        <v>0</v>
      </c>
      <c r="O185" s="120"/>
      <c r="P185" s="96">
        <f t="shared" si="62"/>
        <v>0</v>
      </c>
      <c r="Q185" s="97">
        <f t="shared" si="60"/>
        <v>0</v>
      </c>
      <c r="R185" s="267"/>
      <c r="S185" s="201"/>
      <c r="T185" s="192"/>
      <c r="U185" s="183"/>
      <c r="V185" s="168"/>
      <c r="W185" s="50"/>
      <c r="X185" s="50"/>
      <c r="Y185" s="215">
        <f t="shared" si="64"/>
        <v>0</v>
      </c>
      <c r="Z185" s="120"/>
      <c r="AA185" s="96">
        <f>S185+T185+U185+V185+W185+X185+Y185</f>
        <v>0</v>
      </c>
      <c r="AB185" s="97">
        <f>IF(C185=2012, AA185/3,AA185)+Z185</f>
        <v>0</v>
      </c>
      <c r="AC185" s="290"/>
      <c r="AD185" s="290"/>
      <c r="AE185" s="50"/>
      <c r="AF185" s="50"/>
      <c r="AG185" s="50"/>
      <c r="AH185" s="50">
        <f>AV185</f>
        <v>0</v>
      </c>
      <c r="AI185" s="120"/>
      <c r="AJ185" s="96">
        <f>SUM(AD185:AH185)</f>
        <v>0</v>
      </c>
      <c r="AK185" s="97">
        <f>IF(C185=2011, AJ185/3,AJ185)+AI185</f>
        <v>0</v>
      </c>
      <c r="AL185" s="22"/>
      <c r="AM185" s="267"/>
      <c r="AN185" s="267"/>
      <c r="AO185" s="267"/>
      <c r="AP185" s="267">
        <f>0</f>
        <v>0</v>
      </c>
      <c r="AQ185" s="267"/>
      <c r="AR185" s="267"/>
      <c r="AS185" s="265"/>
      <c r="AT185" s="95"/>
      <c r="AU185" s="96">
        <f>SUM(AM185:AS185)</f>
        <v>0</v>
      </c>
      <c r="AV185" s="97">
        <f>IF(C185=2015, AU185/3,AU185)+AT185</f>
        <v>0</v>
      </c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spans="1:67" x14ac:dyDescent="0.25">
      <c r="A186" s="11" t="s">
        <v>1003</v>
      </c>
      <c r="B186" s="11" t="s">
        <v>86</v>
      </c>
      <c r="C186" s="3">
        <v>2013</v>
      </c>
      <c r="D186" s="1">
        <f t="shared" si="61"/>
        <v>0.66666666666666663</v>
      </c>
      <c r="H186" s="280"/>
      <c r="I186" s="267"/>
      <c r="J186" s="267"/>
      <c r="K186" s="267"/>
      <c r="L186" s="267"/>
      <c r="M186" s="267"/>
      <c r="N186" s="267">
        <f t="shared" si="59"/>
        <v>2</v>
      </c>
      <c r="P186" s="96">
        <f t="shared" si="62"/>
        <v>2</v>
      </c>
      <c r="Q186" s="97">
        <f t="shared" si="60"/>
        <v>0.66666666666666663</v>
      </c>
      <c r="R186" s="267"/>
      <c r="S186" s="201">
        <f>0+2</f>
        <v>2</v>
      </c>
      <c r="T186" s="201"/>
      <c r="U186" s="201"/>
      <c r="V186" s="201"/>
      <c r="W186" s="201"/>
      <c r="X186" s="201"/>
      <c r="Y186" s="215">
        <f t="shared" si="64"/>
        <v>0</v>
      </c>
      <c r="Z186" s="152"/>
      <c r="AA186" s="96">
        <f>AM186+S186+T186+U186+V186+W186+X186+Y186</f>
        <v>2</v>
      </c>
      <c r="AB186" s="97">
        <f>IF(C186=2017, AA186/3,AA186)+Z186</f>
        <v>2</v>
      </c>
      <c r="AE186" s="50"/>
      <c r="AF186" s="50"/>
      <c r="AG186" s="50"/>
      <c r="AH186" s="50"/>
      <c r="AI186" s="120"/>
      <c r="AJ186" s="96">
        <f>SUM(AE186:AH186)</f>
        <v>0</v>
      </c>
      <c r="AK186" s="97">
        <f>IF(C186=2016, AJ186/3,AJ186)+AI186</f>
        <v>0</v>
      </c>
      <c r="AL186" s="22"/>
      <c r="AM186" s="287"/>
      <c r="AN186" s="287"/>
      <c r="AO186" s="287"/>
      <c r="AP186" s="287"/>
      <c r="AQ186" s="287"/>
      <c r="AR186" s="287"/>
      <c r="AS186" s="285"/>
      <c r="AT186" s="95"/>
      <c r="AU186" s="96"/>
      <c r="AV186" s="97"/>
    </row>
    <row r="187" spans="1:67" x14ac:dyDescent="0.25">
      <c r="A187" s="11" t="s">
        <v>850</v>
      </c>
      <c r="B187" s="60" t="s">
        <v>64</v>
      </c>
      <c r="C187" s="62">
        <v>2013</v>
      </c>
      <c r="D187" s="1">
        <f t="shared" si="61"/>
        <v>133</v>
      </c>
      <c r="E187" s="283">
        <f>36</f>
        <v>36</v>
      </c>
      <c r="H187" s="280"/>
      <c r="I187" s="261">
        <f>12</f>
        <v>12</v>
      </c>
      <c r="J187" s="252">
        <f>21</f>
        <v>21</v>
      </c>
      <c r="K187" s="252">
        <f>0</f>
        <v>0</v>
      </c>
      <c r="L187" s="252">
        <f>45</f>
        <v>45</v>
      </c>
      <c r="M187" s="252"/>
      <c r="N187" s="267">
        <f t="shared" si="59"/>
        <v>213</v>
      </c>
      <c r="P187" s="96">
        <f t="shared" si="62"/>
        <v>291</v>
      </c>
      <c r="Q187" s="97">
        <f t="shared" si="60"/>
        <v>97</v>
      </c>
      <c r="R187" s="252"/>
      <c r="S187" s="201"/>
      <c r="T187" s="192"/>
      <c r="U187" s="183"/>
      <c r="V187" s="168">
        <f>0+9+6</f>
        <v>15</v>
      </c>
      <c r="W187" s="50">
        <f>27+18</f>
        <v>45</v>
      </c>
      <c r="X187" s="50">
        <f>6</f>
        <v>6</v>
      </c>
      <c r="Y187" s="215">
        <f t="shared" si="64"/>
        <v>147</v>
      </c>
      <c r="Z187" s="120"/>
      <c r="AA187" s="96">
        <f>AM187+S187+T187+U187+V187+W187+X187+Y187</f>
        <v>213</v>
      </c>
      <c r="AB187" s="97">
        <f>IF(C187=2017, AA187/3,AA187)+Z187</f>
        <v>213</v>
      </c>
      <c r="AC187" s="290"/>
      <c r="AD187" s="290"/>
      <c r="AE187" s="50"/>
      <c r="AF187" s="50">
        <f>75</f>
        <v>75</v>
      </c>
      <c r="AG187" s="50">
        <f>0+6</f>
        <v>6</v>
      </c>
      <c r="AH187" s="50">
        <f>AV187</f>
        <v>66</v>
      </c>
      <c r="AI187" s="120"/>
      <c r="AJ187" s="96">
        <f>SUM(AE187:AH187)</f>
        <v>147</v>
      </c>
      <c r="AK187" s="97">
        <f>IF(C187=2016, AJ187/3,AJ187)+AI187</f>
        <v>147</v>
      </c>
      <c r="AL187" s="22"/>
      <c r="AM187" s="287"/>
      <c r="AN187" s="287">
        <f>18+6</f>
        <v>24</v>
      </c>
      <c r="AO187" s="287">
        <f>36+6</f>
        <v>42</v>
      </c>
      <c r="AP187" s="287"/>
      <c r="AQ187" s="287"/>
      <c r="AR187" s="287"/>
      <c r="AS187" s="285"/>
      <c r="AT187" s="95"/>
      <c r="AU187" s="96">
        <f>SUM(AM187:AS187)</f>
        <v>66</v>
      </c>
      <c r="AV187" s="97">
        <f>IF(C187=2015, AU187/3,AU187)+AT187</f>
        <v>66</v>
      </c>
    </row>
    <row r="188" spans="1:67" x14ac:dyDescent="0.25">
      <c r="A188" s="11" t="s">
        <v>469</v>
      </c>
      <c r="B188" s="60" t="s">
        <v>231</v>
      </c>
      <c r="C188" s="62">
        <v>2013</v>
      </c>
      <c r="D188" s="1">
        <f t="shared" si="61"/>
        <v>19</v>
      </c>
      <c r="E188" s="287"/>
      <c r="F188" s="287"/>
      <c r="H188" s="280"/>
      <c r="J188" s="256"/>
      <c r="K188" s="256"/>
      <c r="L188" s="256"/>
      <c r="M188" s="256"/>
      <c r="N188" s="267">
        <f t="shared" si="59"/>
        <v>57</v>
      </c>
      <c r="P188" s="96">
        <f t="shared" si="62"/>
        <v>57</v>
      </c>
      <c r="Q188" s="97">
        <f t="shared" si="60"/>
        <v>19</v>
      </c>
      <c r="R188" s="256"/>
      <c r="S188" s="201"/>
      <c r="T188" s="192"/>
      <c r="U188" s="183"/>
      <c r="V188" s="168"/>
      <c r="W188" s="50"/>
      <c r="X188" s="50"/>
      <c r="Y188" s="215">
        <f t="shared" si="64"/>
        <v>57</v>
      </c>
      <c r="Z188" s="120"/>
      <c r="AA188" s="96">
        <f>AM188+S188+T188+U188+V188+W188+X188+Y188</f>
        <v>57</v>
      </c>
      <c r="AB188" s="97">
        <f>IF(C188=2017, AA188/3,AA188)+Z188</f>
        <v>57</v>
      </c>
      <c r="AC188" s="257"/>
      <c r="AD188" s="257"/>
      <c r="AE188" s="50"/>
      <c r="AF188" s="50">
        <f>25</f>
        <v>25</v>
      </c>
      <c r="AG188" s="50"/>
      <c r="AH188" s="50">
        <f>AV188</f>
        <v>32</v>
      </c>
      <c r="AI188" s="120"/>
      <c r="AJ188" s="96">
        <f>SUM(AE188:AH188)</f>
        <v>57</v>
      </c>
      <c r="AK188" s="97">
        <f>IF(C188=2016, AJ188/3,AJ188)+AI188</f>
        <v>57</v>
      </c>
      <c r="AL188" s="22"/>
      <c r="AM188" s="287"/>
      <c r="AN188" s="287"/>
      <c r="AO188" s="287"/>
      <c r="AP188" s="287"/>
      <c r="AQ188" s="287"/>
      <c r="AR188" s="287">
        <f>32</f>
        <v>32</v>
      </c>
      <c r="AS188" s="285"/>
      <c r="AT188" s="95"/>
      <c r="AU188" s="96">
        <f>SUM(AM188:AS188)</f>
        <v>32</v>
      </c>
      <c r="AV188" s="97">
        <f>IF(C188=2015, AU188/3,AU188)+AT188</f>
        <v>32</v>
      </c>
    </row>
    <row r="189" spans="1:67" x14ac:dyDescent="0.25">
      <c r="A189" s="223" t="s">
        <v>326</v>
      </c>
      <c r="B189" s="51" t="s">
        <v>7</v>
      </c>
      <c r="C189" s="52">
        <v>2010</v>
      </c>
      <c r="D189" s="1">
        <f t="shared" si="61"/>
        <v>54.666666666666664</v>
      </c>
      <c r="H189" s="280"/>
      <c r="I189" s="287"/>
      <c r="J189" s="287"/>
      <c r="K189" s="287"/>
      <c r="L189" s="287"/>
      <c r="M189" s="287"/>
      <c r="N189" s="267">
        <f t="shared" si="59"/>
        <v>54.666666666666664</v>
      </c>
      <c r="P189" s="96">
        <f t="shared" si="62"/>
        <v>54.666666666666664</v>
      </c>
      <c r="Q189" s="97">
        <f t="shared" si="60"/>
        <v>54.666666666666664</v>
      </c>
      <c r="R189" s="287"/>
      <c r="S189" s="201"/>
      <c r="T189" s="192"/>
      <c r="U189" s="183"/>
      <c r="V189" s="168"/>
      <c r="W189" s="50"/>
      <c r="X189" s="50"/>
      <c r="Y189" s="215">
        <f t="shared" si="64"/>
        <v>54.666666666666664</v>
      </c>
      <c r="Z189" s="120"/>
      <c r="AA189" s="96">
        <f>S189+T189+U189+V189+W189+X189+Y189</f>
        <v>54.666666666666664</v>
      </c>
      <c r="AB189" s="97">
        <f>IF(C189=2012, AA189/3,AA189)+Z189</f>
        <v>54.666666666666664</v>
      </c>
      <c r="AC189" s="22"/>
      <c r="AD189" s="267"/>
      <c r="AE189" s="50"/>
      <c r="AF189" s="50">
        <f>0</f>
        <v>0</v>
      </c>
      <c r="AG189" s="50"/>
      <c r="AH189" s="50">
        <f>AV189</f>
        <v>54.666666666666664</v>
      </c>
      <c r="AI189" s="120"/>
      <c r="AJ189" s="96">
        <f>SUM(AD189:AH189)</f>
        <v>54.666666666666664</v>
      </c>
      <c r="AK189" s="97">
        <f>IF(C189=2011, AJ189/3,AJ189)+AI189</f>
        <v>54.666666666666664</v>
      </c>
      <c r="AL189" s="22"/>
      <c r="AM189" s="287"/>
      <c r="AN189" s="287"/>
      <c r="AO189" s="287"/>
      <c r="AP189" s="287">
        <v>57</v>
      </c>
      <c r="AQ189" s="287"/>
      <c r="AR189" s="287"/>
      <c r="AS189" s="287">
        <f>89</f>
        <v>89</v>
      </c>
      <c r="AT189" s="95">
        <f>6</f>
        <v>6</v>
      </c>
      <c r="AU189" s="96">
        <f>SUM(AM189:AS189)</f>
        <v>146</v>
      </c>
      <c r="AV189" s="97">
        <f>IF(C189=2010, AU189/3,AU189)+AT189</f>
        <v>54.666666666666664</v>
      </c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</row>
    <row r="190" spans="1:67" x14ac:dyDescent="0.25">
      <c r="A190" s="11" t="s">
        <v>995</v>
      </c>
      <c r="B190" s="11" t="s">
        <v>86</v>
      </c>
      <c r="C190" s="3">
        <v>2012</v>
      </c>
      <c r="D190" s="1">
        <f t="shared" si="61"/>
        <v>22</v>
      </c>
      <c r="L190" s="228">
        <f>14+1</f>
        <v>15</v>
      </c>
      <c r="N190" s="267">
        <f t="shared" si="59"/>
        <v>7</v>
      </c>
      <c r="P190" s="96">
        <f t="shared" si="62"/>
        <v>22</v>
      </c>
      <c r="Q190" s="97">
        <f t="shared" si="60"/>
        <v>22</v>
      </c>
      <c r="S190" s="201">
        <f>21</f>
        <v>21</v>
      </c>
      <c r="T190" s="201"/>
      <c r="U190" s="201"/>
      <c r="V190" s="201"/>
      <c r="W190" s="201"/>
      <c r="X190" s="201"/>
      <c r="Y190" s="215">
        <f t="shared" si="64"/>
        <v>0</v>
      </c>
      <c r="Z190" s="152"/>
      <c r="AA190" s="96">
        <f>S190+T190+U190+V190+W190+X190+Y190</f>
        <v>21</v>
      </c>
      <c r="AB190" s="97">
        <f>IF(C190=2012, AA190/3,AA190)+Z190</f>
        <v>7</v>
      </c>
      <c r="AE190" s="50"/>
      <c r="AF190" s="50"/>
      <c r="AG190" s="50"/>
      <c r="AH190" s="50"/>
      <c r="AI190" s="120"/>
      <c r="AJ190" s="96">
        <f>SUM(AD190:AH190)</f>
        <v>0</v>
      </c>
      <c r="AK190" s="97">
        <f>IF(C190=2011, AJ190/3,AJ190)+AI190</f>
        <v>0</v>
      </c>
      <c r="AL190" s="22"/>
      <c r="AM190" s="287"/>
      <c r="AN190" s="287"/>
      <c r="AO190" s="287"/>
      <c r="AP190" s="287"/>
      <c r="AQ190" s="287"/>
      <c r="AR190" s="287"/>
      <c r="AS190" s="285"/>
      <c r="AT190" s="95"/>
      <c r="AU190" s="96"/>
      <c r="AV190" s="97"/>
    </row>
    <row r="191" spans="1:67" x14ac:dyDescent="0.25">
      <c r="A191" s="11" t="s">
        <v>120</v>
      </c>
      <c r="B191" s="60" t="s">
        <v>63</v>
      </c>
      <c r="C191" s="62">
        <v>2010</v>
      </c>
      <c r="D191" s="1">
        <f t="shared" si="61"/>
        <v>88.333333333333343</v>
      </c>
      <c r="E191" s="108"/>
      <c r="F191" s="108"/>
      <c r="H191" s="101"/>
      <c r="I191" s="267">
        <f>0</f>
        <v>0</v>
      </c>
      <c r="J191" s="267">
        <f>0</f>
        <v>0</v>
      </c>
      <c r="K191" s="267">
        <f>8</f>
        <v>8</v>
      </c>
      <c r="L191" s="267"/>
      <c r="M191" s="267"/>
      <c r="N191" s="267">
        <f t="shared" si="59"/>
        <v>80.333333333333343</v>
      </c>
      <c r="P191" s="96">
        <f t="shared" si="62"/>
        <v>88.333333333333343</v>
      </c>
      <c r="Q191" s="97">
        <f t="shared" si="60"/>
        <v>88.333333333333343</v>
      </c>
      <c r="R191" s="267"/>
      <c r="S191" s="201">
        <f>0</f>
        <v>0</v>
      </c>
      <c r="T191" s="192">
        <f>4</f>
        <v>4</v>
      </c>
      <c r="U191" s="183">
        <f>0</f>
        <v>0</v>
      </c>
      <c r="V191" s="168">
        <f>0+6</f>
        <v>6</v>
      </c>
      <c r="W191" s="50">
        <f>0+6</f>
        <v>6</v>
      </c>
      <c r="X191" s="50">
        <f>0</f>
        <v>0</v>
      </c>
      <c r="Y191" s="215">
        <f t="shared" si="64"/>
        <v>64.333333333333343</v>
      </c>
      <c r="Z191" s="120"/>
      <c r="AA191" s="96">
        <f>S191+T191+U191+V191+W191+X191+Y191</f>
        <v>80.333333333333343</v>
      </c>
      <c r="AB191" s="97">
        <f>IF(C191=2012, AA191/3,AA191)+Z191</f>
        <v>80.333333333333343</v>
      </c>
      <c r="AC191" s="22"/>
      <c r="AD191" s="50">
        <f>14</f>
        <v>14</v>
      </c>
      <c r="AE191" s="50">
        <f>17</f>
        <v>17</v>
      </c>
      <c r="AF191" s="50">
        <f>0</f>
        <v>0</v>
      </c>
      <c r="AG191" s="50"/>
      <c r="AH191" s="50">
        <f>AV191</f>
        <v>33.333333333333336</v>
      </c>
      <c r="AI191" s="120"/>
      <c r="AJ191" s="96">
        <f>SUM(AD191:AH191)</f>
        <v>64.333333333333343</v>
      </c>
      <c r="AK191" s="97">
        <f>IF(C191=2011, AJ191/3,AJ191)+AI191</f>
        <v>64.333333333333343</v>
      </c>
      <c r="AL191" s="22"/>
      <c r="AM191" s="41"/>
      <c r="AN191" s="41">
        <v>32</v>
      </c>
      <c r="AO191" s="41">
        <f>6</f>
        <v>6</v>
      </c>
      <c r="AP191" s="41">
        <f>18</f>
        <v>18</v>
      </c>
      <c r="AQ191" s="41">
        <f>27</f>
        <v>27</v>
      </c>
      <c r="AR191" s="41">
        <f>17</f>
        <v>17</v>
      </c>
      <c r="AT191" s="95"/>
      <c r="AU191" s="96">
        <f>SUM(AM191:AS191)</f>
        <v>100</v>
      </c>
      <c r="AV191" s="97">
        <f>IF(C191=2010, AU191/3,AU191)+AT191</f>
        <v>33.333333333333336</v>
      </c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</row>
    <row r="192" spans="1:67" x14ac:dyDescent="0.25">
      <c r="A192" s="11" t="s">
        <v>974</v>
      </c>
      <c r="B192" s="60" t="s">
        <v>938</v>
      </c>
      <c r="C192" s="62">
        <v>2010</v>
      </c>
      <c r="D192" s="1">
        <f t="shared" si="61"/>
        <v>6</v>
      </c>
      <c r="H192" s="280"/>
      <c r="L192" s="231"/>
      <c r="M192" s="231"/>
      <c r="N192" s="267">
        <f t="shared" si="59"/>
        <v>6</v>
      </c>
      <c r="P192" s="96">
        <f t="shared" si="62"/>
        <v>6</v>
      </c>
      <c r="Q192" s="97">
        <f t="shared" si="60"/>
        <v>6</v>
      </c>
      <c r="R192" s="231"/>
      <c r="S192" s="201"/>
      <c r="T192" s="192">
        <f>6</f>
        <v>6</v>
      </c>
      <c r="U192" s="183"/>
      <c r="V192" s="168"/>
      <c r="W192" s="50"/>
      <c r="X192" s="50"/>
      <c r="Y192" s="215">
        <f t="shared" si="64"/>
        <v>0</v>
      </c>
      <c r="Z192" s="120"/>
      <c r="AA192" s="96">
        <f>S192+T192+U192+V192+W192+X192+Y192</f>
        <v>6</v>
      </c>
      <c r="AB192" s="97">
        <f>IF(C192=2012, AA192/3,AA192)+Z192</f>
        <v>6</v>
      </c>
      <c r="AC192" s="22"/>
      <c r="AD192" s="287"/>
      <c r="AE192" s="50"/>
      <c r="AF192" s="50"/>
      <c r="AG192" s="50"/>
      <c r="AH192" s="50"/>
      <c r="AI192" s="120"/>
      <c r="AJ192" s="96">
        <f>SUM(AD192:AH192)</f>
        <v>0</v>
      </c>
      <c r="AK192" s="97">
        <f>IF(C192=2011, AJ192/3,AJ192)+AI192</f>
        <v>0</v>
      </c>
      <c r="AL192" s="22"/>
      <c r="AM192" s="41"/>
      <c r="AN192" s="41"/>
      <c r="AO192" s="41"/>
      <c r="AP192" s="41"/>
      <c r="AQ192" s="41"/>
      <c r="AR192" s="41"/>
      <c r="AT192" s="95"/>
      <c r="AU192" s="96"/>
      <c r="AV192" s="97"/>
    </row>
    <row r="193" spans="1:67" x14ac:dyDescent="0.25">
      <c r="A193" s="11" t="s">
        <v>1143</v>
      </c>
      <c r="B193" s="87" t="s">
        <v>87</v>
      </c>
      <c r="C193" s="3">
        <v>2011</v>
      </c>
      <c r="D193" s="1">
        <f t="shared" si="61"/>
        <v>0</v>
      </c>
      <c r="L193" s="228">
        <f>0</f>
        <v>0</v>
      </c>
      <c r="N193" s="267">
        <f t="shared" si="59"/>
        <v>0</v>
      </c>
      <c r="P193" s="96">
        <f t="shared" si="62"/>
        <v>0</v>
      </c>
      <c r="Q193" s="97">
        <f t="shared" si="60"/>
        <v>0</v>
      </c>
    </row>
    <row r="194" spans="1:67" x14ac:dyDescent="0.25">
      <c r="A194" s="11" t="s">
        <v>1066</v>
      </c>
      <c r="B194" s="60" t="s">
        <v>7</v>
      </c>
      <c r="C194" s="62">
        <v>2011</v>
      </c>
      <c r="D194" s="1">
        <f t="shared" si="61"/>
        <v>9</v>
      </c>
      <c r="J194" s="246">
        <f>1</f>
        <v>1</v>
      </c>
      <c r="K194" s="241">
        <f>3</f>
        <v>3</v>
      </c>
      <c r="L194" s="228">
        <f>0+5</f>
        <v>5</v>
      </c>
      <c r="M194" s="215">
        <f>0</f>
        <v>0</v>
      </c>
      <c r="N194" s="267">
        <f t="shared" si="59"/>
        <v>0</v>
      </c>
      <c r="P194" s="96">
        <f t="shared" si="62"/>
        <v>9</v>
      </c>
      <c r="Q194" s="97">
        <f t="shared" si="60"/>
        <v>9</v>
      </c>
      <c r="S194" s="201"/>
      <c r="T194" s="192"/>
      <c r="U194" s="183"/>
      <c r="V194" s="168"/>
      <c r="W194" s="50"/>
      <c r="X194" s="50"/>
      <c r="Y194" s="215"/>
      <c r="Z194" s="120"/>
      <c r="AA194" s="96"/>
      <c r="AB194" s="97"/>
      <c r="AC194" s="22"/>
      <c r="AD194" s="287"/>
      <c r="AE194" s="50"/>
      <c r="AF194" s="50"/>
      <c r="AG194" s="50"/>
      <c r="AH194" s="50"/>
      <c r="AI194" s="120"/>
      <c r="AJ194" s="96"/>
      <c r="AK194" s="97"/>
      <c r="AL194" s="22"/>
      <c r="AM194" s="41"/>
      <c r="AN194" s="41"/>
      <c r="AO194" s="41"/>
      <c r="AP194" s="41"/>
      <c r="AQ194" s="41"/>
      <c r="AR194" s="41"/>
      <c r="AT194" s="95"/>
      <c r="AU194" s="96"/>
      <c r="AV194" s="97"/>
    </row>
    <row r="195" spans="1:67" s="52" customFormat="1" x14ac:dyDescent="0.25">
      <c r="A195" s="51" t="s">
        <v>271</v>
      </c>
      <c r="B195" s="65" t="s">
        <v>272</v>
      </c>
      <c r="C195" s="62"/>
      <c r="D195" s="1">
        <f t="shared" si="61"/>
        <v>46</v>
      </c>
      <c r="E195" s="283"/>
      <c r="F195" s="278"/>
      <c r="G195" s="120"/>
      <c r="H195" s="290"/>
      <c r="I195" s="287"/>
      <c r="J195" s="287"/>
      <c r="K195" s="287"/>
      <c r="L195" s="287"/>
      <c r="M195" s="287"/>
      <c r="N195" s="267">
        <f t="shared" si="59"/>
        <v>46</v>
      </c>
      <c r="O195" s="120"/>
      <c r="P195" s="96">
        <f t="shared" si="62"/>
        <v>46</v>
      </c>
      <c r="Q195" s="97">
        <f t="shared" si="60"/>
        <v>46</v>
      </c>
      <c r="R195" s="287"/>
      <c r="S195" s="201"/>
      <c r="T195" s="192"/>
      <c r="U195" s="183"/>
      <c r="V195" s="168"/>
      <c r="W195" s="50"/>
      <c r="X195" s="50"/>
      <c r="Y195" s="215">
        <f t="shared" ref="Y195:Y201" si="65">AK195</f>
        <v>46</v>
      </c>
      <c r="Z195" s="120"/>
      <c r="AA195" s="96">
        <f>S195+T195+U195+V195+W195+X195+Y195</f>
        <v>46</v>
      </c>
      <c r="AB195" s="97">
        <f>IF(C195=2012, AA195/3,AA195)+Z195</f>
        <v>46</v>
      </c>
      <c r="AC195" s="22"/>
      <c r="AD195" s="50"/>
      <c r="AE195" s="50"/>
      <c r="AF195" s="50"/>
      <c r="AG195" s="50"/>
      <c r="AH195" s="50">
        <f>AV195</f>
        <v>46</v>
      </c>
      <c r="AI195" s="120"/>
      <c r="AJ195" s="96">
        <f>SUM(AD195:AH195)</f>
        <v>46</v>
      </c>
      <c r="AK195" s="97">
        <f>IF(C195=2011, AJ195/3,AJ195)+AI195</f>
        <v>46</v>
      </c>
      <c r="AL195" s="22"/>
      <c r="AM195" s="13"/>
      <c r="AN195" s="13"/>
      <c r="AO195" s="13">
        <f>1</f>
        <v>1</v>
      </c>
      <c r="AP195" s="13">
        <f>45</f>
        <v>45</v>
      </c>
      <c r="AQ195" s="13"/>
      <c r="AR195" s="13"/>
      <c r="AS195" s="13"/>
      <c r="AT195" s="95"/>
      <c r="AU195" s="96">
        <f>SUM(AM195:AS195)</f>
        <v>46</v>
      </c>
      <c r="AV195" s="97">
        <f>IF(C195=2010, AU195/3,AU195)+AT195</f>
        <v>46</v>
      </c>
    </row>
    <row r="196" spans="1:67" x14ac:dyDescent="0.25">
      <c r="A196" s="71" t="s">
        <v>253</v>
      </c>
      <c r="B196" s="71" t="s">
        <v>231</v>
      </c>
      <c r="C196" s="72">
        <v>2012</v>
      </c>
      <c r="D196" s="1">
        <f t="shared" si="61"/>
        <v>0</v>
      </c>
      <c r="E196" s="108"/>
      <c r="F196" s="108"/>
      <c r="H196" s="101"/>
      <c r="N196" s="267">
        <f t="shared" si="59"/>
        <v>0</v>
      </c>
      <c r="P196" s="96">
        <f t="shared" si="62"/>
        <v>0</v>
      </c>
      <c r="Q196" s="97">
        <f t="shared" si="60"/>
        <v>0</v>
      </c>
      <c r="S196" s="201"/>
      <c r="T196" s="192"/>
      <c r="U196" s="183"/>
      <c r="V196" s="168"/>
      <c r="W196" s="50"/>
      <c r="X196" s="50"/>
      <c r="Y196" s="215">
        <f t="shared" si="65"/>
        <v>0</v>
      </c>
      <c r="Z196" s="120"/>
      <c r="AA196" s="96">
        <f>S196+T196+U196+V196+W196+X196+Y196</f>
        <v>0</v>
      </c>
      <c r="AB196" s="97">
        <f>IF(C196=2012, AA196/3,AA196)+Z196</f>
        <v>0</v>
      </c>
      <c r="AC196" s="290"/>
      <c r="AD196" s="290"/>
      <c r="AE196" s="50"/>
      <c r="AF196" s="50"/>
      <c r="AG196" s="50"/>
      <c r="AH196" s="50">
        <f>AV196</f>
        <v>0</v>
      </c>
      <c r="AI196" s="120"/>
      <c r="AJ196" s="96">
        <f>SUM(AD196:AH196)</f>
        <v>0</v>
      </c>
      <c r="AK196" s="97">
        <f>IF(C196=2011, AJ196/3,AJ196)+AI196</f>
        <v>0</v>
      </c>
      <c r="AL196" s="22"/>
      <c r="AM196" s="287"/>
      <c r="AN196" s="287"/>
      <c r="AO196" s="287">
        <f>0</f>
        <v>0</v>
      </c>
      <c r="AP196" s="287"/>
      <c r="AQ196" s="287"/>
      <c r="AR196" s="287"/>
      <c r="AS196" s="285"/>
      <c r="AT196" s="95"/>
      <c r="AU196" s="96">
        <f>SUM(AM196:AS196)</f>
        <v>0</v>
      </c>
      <c r="AV196" s="97">
        <f>IF(C196=2015, AU196/3,AU196)+AT196</f>
        <v>0</v>
      </c>
    </row>
    <row r="197" spans="1:67" x14ac:dyDescent="0.25">
      <c r="A197" s="11" t="s">
        <v>693</v>
      </c>
      <c r="B197" s="60" t="s">
        <v>231</v>
      </c>
      <c r="C197" s="62">
        <v>2011</v>
      </c>
      <c r="D197" s="1">
        <f t="shared" si="61"/>
        <v>21</v>
      </c>
      <c r="I197" s="267"/>
      <c r="J197" s="267"/>
      <c r="K197" s="267"/>
      <c r="L197" s="267"/>
      <c r="M197" s="267"/>
      <c r="N197" s="267">
        <f t="shared" si="59"/>
        <v>21</v>
      </c>
      <c r="P197" s="96">
        <f t="shared" si="62"/>
        <v>21</v>
      </c>
      <c r="Q197" s="97">
        <f t="shared" si="60"/>
        <v>21</v>
      </c>
      <c r="R197" s="267"/>
      <c r="S197" s="201"/>
      <c r="T197" s="192"/>
      <c r="U197" s="183"/>
      <c r="V197" s="168"/>
      <c r="W197" s="50"/>
      <c r="X197" s="50"/>
      <c r="Y197" s="215">
        <f t="shared" si="65"/>
        <v>21</v>
      </c>
      <c r="Z197" s="120"/>
      <c r="AA197" s="96">
        <f>S197+T197+U197+V197+W197+X197+Y197</f>
        <v>21</v>
      </c>
      <c r="AB197" s="97">
        <f>IF(C197=2012, AA197/3,AA197)+Z197</f>
        <v>21</v>
      </c>
      <c r="AC197" s="287"/>
      <c r="AD197" s="287">
        <f>18</f>
        <v>18</v>
      </c>
      <c r="AE197" s="50">
        <f>45</f>
        <v>45</v>
      </c>
      <c r="AF197" s="50"/>
      <c r="AG197" s="50"/>
      <c r="AH197" s="50"/>
      <c r="AI197" s="120"/>
      <c r="AJ197" s="96">
        <f>SUM(AD197:AH197)</f>
        <v>63</v>
      </c>
      <c r="AK197" s="97">
        <f>IF(C197=2011, AJ197/3,AJ197)+AI197</f>
        <v>21</v>
      </c>
      <c r="AL197" s="22"/>
      <c r="AM197" s="287"/>
      <c r="AN197" s="287"/>
      <c r="AO197" s="287"/>
      <c r="AP197" s="287"/>
      <c r="AQ197" s="287"/>
      <c r="AR197" s="287"/>
      <c r="AS197" s="285"/>
      <c r="AT197" s="95"/>
      <c r="AU197" s="96"/>
      <c r="AV197" s="97"/>
    </row>
    <row r="198" spans="1:67" s="52" customFormat="1" x14ac:dyDescent="0.25">
      <c r="A198" s="264" t="s">
        <v>527</v>
      </c>
      <c r="B198" s="60" t="s">
        <v>7</v>
      </c>
      <c r="C198" s="62">
        <v>2010</v>
      </c>
      <c r="D198" s="1">
        <f t="shared" si="61"/>
        <v>0.66666666666666663</v>
      </c>
      <c r="E198" s="283"/>
      <c r="F198" s="278"/>
      <c r="G198" s="120"/>
      <c r="H198" s="280"/>
      <c r="I198" s="261"/>
      <c r="J198" s="246"/>
      <c r="K198" s="241"/>
      <c r="L198" s="228"/>
      <c r="M198" s="215"/>
      <c r="N198" s="267">
        <f t="shared" si="59"/>
        <v>0.66666666666666663</v>
      </c>
      <c r="O198" s="120"/>
      <c r="P198" s="96">
        <f t="shared" si="62"/>
        <v>0.66666666666666663</v>
      </c>
      <c r="Q198" s="97">
        <f t="shared" si="60"/>
        <v>0.66666666666666663</v>
      </c>
      <c r="R198" s="215"/>
      <c r="S198" s="201"/>
      <c r="T198" s="192"/>
      <c r="U198" s="183"/>
      <c r="V198" s="168"/>
      <c r="W198" s="50"/>
      <c r="X198" s="50"/>
      <c r="Y198" s="215">
        <f t="shared" si="65"/>
        <v>0.66666666666666663</v>
      </c>
      <c r="Z198" s="120"/>
      <c r="AA198" s="96">
        <f>S198+T198+U198+V198+W198+X198+Y198</f>
        <v>0.66666666666666663</v>
      </c>
      <c r="AB198" s="97">
        <f>IF(C198=2012, AA198/3,AA198)+Z198</f>
        <v>0.66666666666666663</v>
      </c>
      <c r="AC198" s="22"/>
      <c r="AD198" s="287"/>
      <c r="AE198" s="50">
        <f>0</f>
        <v>0</v>
      </c>
      <c r="AF198" s="50"/>
      <c r="AG198" s="50">
        <f>0</f>
        <v>0</v>
      </c>
      <c r="AH198" s="50">
        <f>AV198</f>
        <v>0.66666666666666663</v>
      </c>
      <c r="AI198" s="120"/>
      <c r="AJ198" s="96">
        <f>SUM(AD198:AH198)</f>
        <v>0.66666666666666663</v>
      </c>
      <c r="AK198" s="97">
        <f>IF(C198=2011, AJ198/3,AJ198)+AI198</f>
        <v>0.66666666666666663</v>
      </c>
      <c r="AL198" s="22"/>
      <c r="AM198" s="41"/>
      <c r="AN198" s="41"/>
      <c r="AO198" s="41"/>
      <c r="AP198" s="41"/>
      <c r="AQ198" s="41"/>
      <c r="AR198" s="41">
        <f>2</f>
        <v>2</v>
      </c>
      <c r="AS198" s="17"/>
      <c r="AT198" s="95"/>
      <c r="AU198" s="96">
        <f>SUM(AM198:AS198)</f>
        <v>2</v>
      </c>
      <c r="AV198" s="97">
        <f>IF(C198=2010, AU198/3,AU198)+AT198</f>
        <v>0.66666666666666663</v>
      </c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spans="1:67" s="52" customFormat="1" x14ac:dyDescent="0.25">
      <c r="A199" s="11" t="s">
        <v>891</v>
      </c>
      <c r="B199" s="11" t="s">
        <v>404</v>
      </c>
      <c r="C199" s="3">
        <v>2013</v>
      </c>
      <c r="D199" s="1">
        <f t="shared" si="61"/>
        <v>25.666666666666668</v>
      </c>
      <c r="E199" s="287"/>
      <c r="F199" s="287"/>
      <c r="G199" s="120"/>
      <c r="H199" s="13"/>
      <c r="I199" s="261"/>
      <c r="J199" s="252"/>
      <c r="K199" s="252">
        <f>53</f>
        <v>53</v>
      </c>
      <c r="L199" s="252"/>
      <c r="M199" s="252"/>
      <c r="N199" s="267">
        <f t="shared" si="59"/>
        <v>24</v>
      </c>
      <c r="O199" s="120"/>
      <c r="P199" s="96">
        <f t="shared" si="62"/>
        <v>77</v>
      </c>
      <c r="Q199" s="97">
        <f t="shared" si="60"/>
        <v>25.666666666666668</v>
      </c>
      <c r="R199" s="252"/>
      <c r="S199" s="201">
        <f>7</f>
        <v>7</v>
      </c>
      <c r="T199" s="192"/>
      <c r="U199" s="183"/>
      <c r="V199" s="168">
        <f>0+17</f>
        <v>17</v>
      </c>
      <c r="W199" s="50"/>
      <c r="X199" s="50"/>
      <c r="Y199" s="215">
        <f t="shared" si="65"/>
        <v>0</v>
      </c>
      <c r="Z199" s="152"/>
      <c r="AA199" s="96">
        <f>AM199+S199+T199+U199+V199+W199+X199+Y199</f>
        <v>24</v>
      </c>
      <c r="AB199" s="97">
        <f>IF(C199=2017, AA199/3,AA199)+Z199</f>
        <v>24</v>
      </c>
      <c r="AC199" s="13"/>
      <c r="AD199" s="13"/>
      <c r="AE199" s="50"/>
      <c r="AF199" s="50"/>
      <c r="AG199" s="50"/>
      <c r="AH199" s="50"/>
      <c r="AI199" s="120"/>
      <c r="AJ199" s="96">
        <f>SUM(AE199:AH199)</f>
        <v>0</v>
      </c>
      <c r="AK199" s="97">
        <f>IF(C199=2016, AJ199/3,AJ199)+AI199</f>
        <v>0</v>
      </c>
      <c r="AL199" s="22"/>
      <c r="AM199" s="231"/>
      <c r="AN199" s="231"/>
      <c r="AO199" s="231"/>
      <c r="AP199" s="231"/>
      <c r="AQ199" s="231"/>
      <c r="AR199" s="231"/>
      <c r="AS199" s="251"/>
      <c r="AT199" s="95"/>
      <c r="AU199" s="96"/>
      <c r="AV199" s="97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spans="1:67" s="52" customFormat="1" ht="14.25" customHeight="1" x14ac:dyDescent="0.25">
      <c r="A200" s="71" t="s">
        <v>413</v>
      </c>
      <c r="B200" s="71" t="s">
        <v>111</v>
      </c>
      <c r="C200" s="72">
        <v>2010</v>
      </c>
      <c r="D200" s="1">
        <f t="shared" si="61"/>
        <v>60</v>
      </c>
      <c r="E200" s="283"/>
      <c r="F200" s="278"/>
      <c r="G200" s="120"/>
      <c r="H200" s="13"/>
      <c r="I200" s="261"/>
      <c r="J200" s="256"/>
      <c r="K200" s="256"/>
      <c r="L200" s="256"/>
      <c r="M200" s="256"/>
      <c r="N200" s="267">
        <f t="shared" si="59"/>
        <v>60</v>
      </c>
      <c r="O200" s="120"/>
      <c r="P200" s="96">
        <f t="shared" si="62"/>
        <v>60</v>
      </c>
      <c r="Q200" s="97">
        <f t="shared" si="60"/>
        <v>60</v>
      </c>
      <c r="R200" s="256"/>
      <c r="S200" s="201"/>
      <c r="T200" s="192"/>
      <c r="U200" s="183"/>
      <c r="V200" s="168"/>
      <c r="W200" s="50"/>
      <c r="X200" s="215">
        <f>0</f>
        <v>0</v>
      </c>
      <c r="Y200" s="215">
        <f t="shared" si="65"/>
        <v>60</v>
      </c>
      <c r="Z200" s="120"/>
      <c r="AA200" s="96">
        <f>S200+T200+U200+V200+W200+X200+Y200</f>
        <v>60</v>
      </c>
      <c r="AB200" s="97">
        <f>IF(C200=2012, AA200/3,AA200)+Z200</f>
        <v>60</v>
      </c>
      <c r="AC200" s="22"/>
      <c r="AD200" s="287">
        <f>8+8</f>
        <v>16</v>
      </c>
      <c r="AE200" s="50">
        <f>11+9</f>
        <v>20</v>
      </c>
      <c r="AF200" s="50">
        <f>14+5</f>
        <v>19</v>
      </c>
      <c r="AG200" s="50"/>
      <c r="AH200" s="50">
        <f>AV200</f>
        <v>5</v>
      </c>
      <c r="AI200" s="120"/>
      <c r="AJ200" s="96">
        <f>SUM(AD200:AH200)</f>
        <v>60</v>
      </c>
      <c r="AK200" s="97">
        <f>IF(C200=2011, AJ200/3,AJ200)+AI200</f>
        <v>60</v>
      </c>
      <c r="AL200" s="22"/>
      <c r="AM200" s="287"/>
      <c r="AN200" s="287"/>
      <c r="AO200" s="287"/>
      <c r="AP200" s="287"/>
      <c r="AQ200" s="287">
        <f>0+15</f>
        <v>15</v>
      </c>
      <c r="AR200" s="287"/>
      <c r="AS200" s="285"/>
      <c r="AT200" s="95"/>
      <c r="AU200" s="96">
        <f>SUM(AM200:AS200)</f>
        <v>15</v>
      </c>
      <c r="AV200" s="97">
        <f>IF(C200=2010, AU200/3,AU200)+AT200</f>
        <v>5</v>
      </c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spans="1:67" s="52" customFormat="1" ht="14.25" customHeight="1" x14ac:dyDescent="0.25">
      <c r="A201" s="11" t="s">
        <v>688</v>
      </c>
      <c r="B201" s="60" t="s">
        <v>547</v>
      </c>
      <c r="C201" s="62">
        <v>2012</v>
      </c>
      <c r="D201" s="1">
        <f t="shared" si="61"/>
        <v>0.66666666666666663</v>
      </c>
      <c r="E201" s="287"/>
      <c r="F201" s="287"/>
      <c r="G201" s="120"/>
      <c r="H201" s="290"/>
      <c r="I201" s="261"/>
      <c r="J201" s="246"/>
      <c r="K201" s="241"/>
      <c r="L201" s="228"/>
      <c r="M201" s="215"/>
      <c r="N201" s="267">
        <f t="shared" si="59"/>
        <v>0.66666666666666663</v>
      </c>
      <c r="O201" s="120"/>
      <c r="P201" s="96">
        <f t="shared" si="62"/>
        <v>0.66666666666666663</v>
      </c>
      <c r="Q201" s="97">
        <f t="shared" si="60"/>
        <v>0.66666666666666663</v>
      </c>
      <c r="R201" s="215"/>
      <c r="S201" s="201"/>
      <c r="T201" s="192"/>
      <c r="U201" s="183">
        <f>2</f>
        <v>2</v>
      </c>
      <c r="V201" s="168"/>
      <c r="W201" s="50"/>
      <c r="X201" s="50">
        <f>0</f>
        <v>0</v>
      </c>
      <c r="Y201" s="215">
        <f t="shared" si="65"/>
        <v>0</v>
      </c>
      <c r="Z201" s="152"/>
      <c r="AA201" s="96">
        <f>S201+T201+U201+V201+W201+X201+Y201</f>
        <v>2</v>
      </c>
      <c r="AB201" s="97">
        <f>IF(C201=2012, AA201/3,AA201)+Z201</f>
        <v>0.66666666666666663</v>
      </c>
      <c r="AC201" s="269"/>
      <c r="AD201" s="269"/>
      <c r="AE201" s="50">
        <f>0</f>
        <v>0</v>
      </c>
      <c r="AF201" s="50"/>
      <c r="AG201" s="50"/>
      <c r="AH201" s="50"/>
      <c r="AI201" s="120"/>
      <c r="AJ201" s="96">
        <f>SUM(AD201:AH201)</f>
        <v>0</v>
      </c>
      <c r="AK201" s="97">
        <f>IF(C201=2011, AJ201/3,AJ201)+AI201</f>
        <v>0</v>
      </c>
      <c r="AL201" s="22"/>
      <c r="AM201" s="151"/>
      <c r="AN201" s="151"/>
      <c r="AO201" s="151"/>
      <c r="AP201" s="151"/>
      <c r="AQ201" s="151"/>
      <c r="AR201" s="151"/>
      <c r="AS201" s="13"/>
      <c r="AT201" s="95"/>
      <c r="AU201" s="96">
        <f>SUM(AM201:AS201)</f>
        <v>0</v>
      </c>
      <c r="AV201" s="97">
        <f>IF(C201=2015, AU201/3,AU201)+AT201</f>
        <v>0</v>
      </c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spans="1:67" x14ac:dyDescent="0.25">
      <c r="A202" s="11" t="s">
        <v>1167</v>
      </c>
      <c r="B202" s="87" t="s">
        <v>87</v>
      </c>
      <c r="C202" s="3">
        <v>2012</v>
      </c>
      <c r="D202" s="1">
        <f t="shared" si="61"/>
        <v>0</v>
      </c>
      <c r="E202" s="287"/>
      <c r="F202" s="287"/>
      <c r="L202" s="228">
        <f>0</f>
        <v>0</v>
      </c>
      <c r="N202" s="267">
        <f t="shared" si="59"/>
        <v>0</v>
      </c>
      <c r="P202" s="96">
        <f t="shared" si="62"/>
        <v>0</v>
      </c>
      <c r="Q202" s="97">
        <f t="shared" si="60"/>
        <v>0</v>
      </c>
    </row>
    <row r="203" spans="1:67" x14ac:dyDescent="0.25">
      <c r="A203" s="60" t="s">
        <v>200</v>
      </c>
      <c r="B203" s="65" t="s">
        <v>87</v>
      </c>
      <c r="C203" s="62"/>
      <c r="D203" s="1">
        <f t="shared" si="61"/>
        <v>18</v>
      </c>
      <c r="N203" s="267">
        <f t="shared" si="59"/>
        <v>18</v>
      </c>
      <c r="P203" s="96">
        <f t="shared" si="62"/>
        <v>18</v>
      </c>
      <c r="Q203" s="97">
        <f t="shared" si="60"/>
        <v>18</v>
      </c>
      <c r="S203" s="201"/>
      <c r="T203" s="192"/>
      <c r="U203" s="183"/>
      <c r="V203" s="168"/>
      <c r="W203" s="50"/>
      <c r="X203" s="50"/>
      <c r="Y203" s="215">
        <f>AK203</f>
        <v>18</v>
      </c>
      <c r="Z203" s="120"/>
      <c r="AA203" s="96">
        <f>S203+T203+U203+V203+W203+X203+Y203</f>
        <v>18</v>
      </c>
      <c r="AB203" s="97">
        <f>IF(C203=2012, AA203/3,AA203)+Z203</f>
        <v>18</v>
      </c>
      <c r="AC203" s="22"/>
      <c r="AD203" s="50"/>
      <c r="AE203" s="50"/>
      <c r="AF203" s="50"/>
      <c r="AG203" s="50"/>
      <c r="AH203" s="50">
        <f>AV203</f>
        <v>18</v>
      </c>
      <c r="AI203" s="120"/>
      <c r="AJ203" s="96">
        <f>SUM(AD203:AH203)</f>
        <v>18</v>
      </c>
      <c r="AK203" s="97">
        <f>IF(C203=2011, AJ203/3,AJ203)+AI203</f>
        <v>18</v>
      </c>
      <c r="AL203" s="22"/>
      <c r="AN203" s="13">
        <f>18</f>
        <v>18</v>
      </c>
      <c r="AT203" s="95"/>
      <c r="AU203" s="96">
        <f>SUM(AM203:AS203)</f>
        <v>18</v>
      </c>
      <c r="AV203" s="97">
        <f>IF(C203=2010, AU203/3,AU203)+AT203</f>
        <v>18</v>
      </c>
    </row>
    <row r="204" spans="1:67" s="52" customFormat="1" x14ac:dyDescent="0.25">
      <c r="A204" s="11" t="s">
        <v>1048</v>
      </c>
      <c r="B204" s="60" t="s">
        <v>86</v>
      </c>
      <c r="C204" s="62">
        <v>2012</v>
      </c>
      <c r="D204" s="1">
        <f t="shared" si="61"/>
        <v>6</v>
      </c>
      <c r="E204" s="283"/>
      <c r="F204" s="278"/>
      <c r="G204" s="120"/>
      <c r="H204" s="290"/>
      <c r="I204" s="261"/>
      <c r="J204" s="246"/>
      <c r="K204" s="241"/>
      <c r="L204" s="228">
        <f>6</f>
        <v>6</v>
      </c>
      <c r="M204" s="215"/>
      <c r="N204" s="267">
        <f t="shared" si="59"/>
        <v>0</v>
      </c>
      <c r="O204" s="120"/>
      <c r="P204" s="96">
        <f t="shared" si="62"/>
        <v>6</v>
      </c>
      <c r="Q204" s="97">
        <f t="shared" si="60"/>
        <v>6</v>
      </c>
      <c r="R204" s="215"/>
      <c r="S204" s="201">
        <f>0</f>
        <v>0</v>
      </c>
      <c r="T204" s="192"/>
      <c r="U204" s="183"/>
      <c r="V204" s="168"/>
      <c r="W204" s="50"/>
      <c r="X204" s="231"/>
      <c r="Y204" s="215">
        <f>AK204</f>
        <v>0</v>
      </c>
      <c r="Z204" s="120"/>
      <c r="AA204" s="96">
        <f>S204+T204+U204+V204+W204+X204+Y204</f>
        <v>0</v>
      </c>
      <c r="AB204" s="97">
        <f>IF(C204=2012, AA204/3,AA204)+Z204</f>
        <v>0</v>
      </c>
      <c r="AC204" s="22"/>
      <c r="AD204" s="215"/>
      <c r="AE204" s="50"/>
      <c r="AF204" s="50"/>
      <c r="AG204" s="50"/>
      <c r="AH204" s="50"/>
      <c r="AI204" s="120"/>
      <c r="AJ204" s="96">
        <f>SUM(AD204:AH204)</f>
        <v>0</v>
      </c>
      <c r="AK204" s="97">
        <f>IF(C204=2011, AJ204/3,AJ204)+AI204</f>
        <v>0</v>
      </c>
      <c r="AL204" s="22"/>
      <c r="AM204" s="41"/>
      <c r="AN204" s="41"/>
      <c r="AO204" s="41"/>
      <c r="AP204" s="41"/>
      <c r="AQ204" s="41"/>
      <c r="AR204" s="41"/>
      <c r="AS204" s="13"/>
      <c r="AT204" s="95"/>
      <c r="AU204" s="96"/>
      <c r="AV204" s="97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spans="1:67" x14ac:dyDescent="0.25">
      <c r="A205" s="71" t="s">
        <v>239</v>
      </c>
      <c r="B205" s="71" t="s">
        <v>231</v>
      </c>
      <c r="C205" s="72">
        <v>2011</v>
      </c>
      <c r="D205" s="1">
        <f t="shared" si="61"/>
        <v>50.333333333333336</v>
      </c>
      <c r="H205" s="290"/>
      <c r="N205" s="267">
        <f t="shared" si="59"/>
        <v>50.333333333333336</v>
      </c>
      <c r="P205" s="96">
        <f t="shared" si="62"/>
        <v>50.333333333333336</v>
      </c>
      <c r="Q205" s="97">
        <f t="shared" si="60"/>
        <v>50.333333333333336</v>
      </c>
      <c r="S205" s="201"/>
      <c r="T205" s="192"/>
      <c r="U205" s="183"/>
      <c r="V205" s="168"/>
      <c r="W205" s="50"/>
      <c r="X205" s="50"/>
      <c r="Y205" s="215">
        <f>AK205</f>
        <v>50.333333333333336</v>
      </c>
      <c r="Z205" s="120"/>
      <c r="AA205" s="96">
        <f>S205+T205+U205+V205+W205+X205+Y205</f>
        <v>50.333333333333336</v>
      </c>
      <c r="AB205" s="97">
        <f>IF(C205=2012, AA205/3,AA205)+Z205</f>
        <v>50.333333333333336</v>
      </c>
      <c r="AC205" s="287"/>
      <c r="AD205" s="252"/>
      <c r="AE205" s="50"/>
      <c r="AF205" s="50">
        <f>57</f>
        <v>57</v>
      </c>
      <c r="AG205" s="50">
        <f>46</f>
        <v>46</v>
      </c>
      <c r="AH205" s="50">
        <f>AV205</f>
        <v>48</v>
      </c>
      <c r="AI205" s="120"/>
      <c r="AJ205" s="96">
        <f>SUM(AD205:AH205)</f>
        <v>151</v>
      </c>
      <c r="AK205" s="97">
        <f>IF(C205=2011, AJ205/3,AJ205)+AI205</f>
        <v>50.333333333333336</v>
      </c>
      <c r="AL205" s="22"/>
      <c r="AM205" s="287"/>
      <c r="AN205" s="287"/>
      <c r="AO205" s="287">
        <f>48</f>
        <v>48</v>
      </c>
      <c r="AP205" s="287"/>
      <c r="AQ205" s="287"/>
      <c r="AR205" s="287"/>
      <c r="AS205" s="285"/>
      <c r="AT205" s="95"/>
      <c r="AU205" s="96">
        <f>SUM(AM205:AS205)</f>
        <v>48</v>
      </c>
      <c r="AV205" s="97">
        <f>IF(C205=2015, AU205/3,AU205)+AT205</f>
        <v>48</v>
      </c>
    </row>
    <row r="206" spans="1:67" x14ac:dyDescent="0.25">
      <c r="A206" s="71" t="s">
        <v>691</v>
      </c>
      <c r="B206" s="71" t="s">
        <v>547</v>
      </c>
      <c r="C206" s="72">
        <v>2012</v>
      </c>
      <c r="D206" s="1">
        <f t="shared" si="61"/>
        <v>0</v>
      </c>
      <c r="H206" s="290"/>
      <c r="I206" s="287"/>
      <c r="J206" s="287"/>
      <c r="K206" s="287"/>
      <c r="L206" s="287"/>
      <c r="M206" s="287"/>
      <c r="N206" s="267">
        <f t="shared" si="59"/>
        <v>0</v>
      </c>
      <c r="P206" s="96">
        <f t="shared" si="62"/>
        <v>0</v>
      </c>
      <c r="Q206" s="97">
        <f t="shared" si="60"/>
        <v>0</v>
      </c>
      <c r="R206" s="287"/>
      <c r="S206" s="201"/>
      <c r="T206" s="192"/>
      <c r="U206" s="183"/>
      <c r="V206" s="168"/>
      <c r="W206" s="50"/>
      <c r="X206" s="50"/>
      <c r="Y206" s="215">
        <f>AK206</f>
        <v>0</v>
      </c>
      <c r="Z206" s="152"/>
      <c r="AA206" s="96">
        <f>S206+T206+U206+V206+W206+X206+Y206</f>
        <v>0</v>
      </c>
      <c r="AB206" s="97">
        <f>IF(C206=2012, AA206/3,AA206)+Z206</f>
        <v>0</v>
      </c>
      <c r="AC206" s="269"/>
      <c r="AD206" s="269"/>
      <c r="AE206" s="50">
        <f>0</f>
        <v>0</v>
      </c>
      <c r="AF206" s="50"/>
      <c r="AG206" s="50"/>
      <c r="AH206" s="50"/>
      <c r="AI206" s="120"/>
      <c r="AJ206" s="96">
        <f>SUM(AD206:AH206)</f>
        <v>0</v>
      </c>
      <c r="AK206" s="97">
        <f>IF(C206=2011, AJ206/3,AJ206)+AI206</f>
        <v>0</v>
      </c>
      <c r="AL206" s="22"/>
      <c r="AM206" s="201"/>
      <c r="AN206" s="201"/>
      <c r="AO206" s="201"/>
      <c r="AP206" s="201"/>
      <c r="AQ206" s="201"/>
      <c r="AR206" s="201"/>
      <c r="AS206" s="265"/>
      <c r="AT206" s="95"/>
      <c r="AU206" s="96">
        <f>SUM(AM206:AS206)</f>
        <v>0</v>
      </c>
      <c r="AV206" s="97">
        <f>IF(C206=2015, AU206/3,AU206)+AT206</f>
        <v>0</v>
      </c>
    </row>
    <row r="207" spans="1:67" x14ac:dyDescent="0.25">
      <c r="A207" s="71" t="s">
        <v>554</v>
      </c>
      <c r="B207" s="71" t="s">
        <v>547</v>
      </c>
      <c r="C207" s="72">
        <v>2012</v>
      </c>
      <c r="D207" s="1">
        <f t="shared" si="61"/>
        <v>49.333333333333336</v>
      </c>
      <c r="H207" s="280"/>
      <c r="N207" s="267">
        <f t="shared" si="59"/>
        <v>49.333333333333336</v>
      </c>
      <c r="P207" s="96">
        <f t="shared" si="62"/>
        <v>49.333333333333336</v>
      </c>
      <c r="Q207" s="97">
        <f t="shared" si="60"/>
        <v>49.333333333333336</v>
      </c>
      <c r="S207" s="201"/>
      <c r="T207" s="192"/>
      <c r="U207" s="183"/>
      <c r="V207" s="168"/>
      <c r="W207" s="50">
        <f>72+6</f>
        <v>78</v>
      </c>
      <c r="X207" s="50">
        <f>27</f>
        <v>27</v>
      </c>
      <c r="Y207" s="215">
        <f>AK207</f>
        <v>43</v>
      </c>
      <c r="Z207" s="152"/>
      <c r="AA207" s="96">
        <f>S207+T207+U207+V207+W207+X207+Y207</f>
        <v>148</v>
      </c>
      <c r="AB207" s="97">
        <f>IF(C207=2012, AA207/3,AA207)+Z207</f>
        <v>49.333333333333336</v>
      </c>
      <c r="AC207" s="257"/>
      <c r="AD207" s="257"/>
      <c r="AE207" s="50">
        <f>22</f>
        <v>22</v>
      </c>
      <c r="AF207" s="50"/>
      <c r="AG207" s="50">
        <f>18+3</f>
        <v>21</v>
      </c>
      <c r="AH207" s="50"/>
      <c r="AI207" s="120"/>
      <c r="AJ207" s="96">
        <f>SUM(AD207:AH207)</f>
        <v>43</v>
      </c>
      <c r="AK207" s="97">
        <f>IF(C207=2011, AJ207/3,AJ207)+AI207</f>
        <v>43</v>
      </c>
      <c r="AL207" s="22"/>
      <c r="AM207" s="252"/>
      <c r="AN207" s="252"/>
      <c r="AO207" s="252"/>
      <c r="AP207" s="252"/>
      <c r="AQ207" s="252"/>
      <c r="AR207" s="252"/>
      <c r="AS207" s="251"/>
      <c r="AT207" s="95"/>
      <c r="AU207" s="96">
        <f>SUM(AM207:AS207)</f>
        <v>0</v>
      </c>
      <c r="AV207" s="97">
        <f>IF(C207=2015, AU207/3,AU207)+AT207</f>
        <v>0</v>
      </c>
    </row>
    <row r="208" spans="1:67" x14ac:dyDescent="0.25">
      <c r="A208" s="45" t="s">
        <v>1226</v>
      </c>
      <c r="B208" s="66" t="s">
        <v>834</v>
      </c>
      <c r="C208" s="46">
        <v>2013</v>
      </c>
      <c r="D208" s="1">
        <f>Q208+F208+E208</f>
        <v>15.666666666666666</v>
      </c>
      <c r="E208" s="108">
        <f>0+5</f>
        <v>5</v>
      </c>
      <c r="F208" s="108"/>
      <c r="H208" s="101"/>
      <c r="I208" s="108">
        <f>23</f>
        <v>23</v>
      </c>
      <c r="J208" s="108"/>
      <c r="K208" s="108">
        <f>9</f>
        <v>9</v>
      </c>
      <c r="L208" s="108"/>
      <c r="M208" s="108"/>
      <c r="N208" s="267">
        <f t="shared" si="59"/>
        <v>0</v>
      </c>
      <c r="P208" s="96">
        <f>I208+J208+K208+L208+M208+N208</f>
        <v>32</v>
      </c>
      <c r="Q208" s="97">
        <f t="shared" si="60"/>
        <v>10.666666666666666</v>
      </c>
      <c r="R208" s="108"/>
      <c r="S208" s="108"/>
      <c r="T208" s="108"/>
      <c r="U208" s="108"/>
      <c r="V208" s="108"/>
      <c r="W208" s="108"/>
      <c r="X208" s="108"/>
      <c r="Y208" s="215"/>
      <c r="Z208" s="122"/>
      <c r="AA208" s="96"/>
      <c r="AB208" s="97"/>
      <c r="AC208" s="101"/>
      <c r="AD208" s="108"/>
      <c r="AE208" s="108"/>
      <c r="AF208" s="108"/>
      <c r="AG208" s="108"/>
      <c r="AH208" s="108"/>
      <c r="AI208" s="122"/>
      <c r="AJ208" s="96"/>
      <c r="AK208" s="97"/>
      <c r="AL208" s="101"/>
      <c r="AM208" s="41"/>
      <c r="AN208" s="41"/>
      <c r="AO208" s="41"/>
      <c r="AP208" s="41"/>
      <c r="AQ208" s="41"/>
      <c r="AR208" s="41"/>
    </row>
    <row r="209" spans="1:48" x14ac:dyDescent="0.25">
      <c r="A209" s="71" t="s">
        <v>603</v>
      </c>
      <c r="B209" s="71" t="s">
        <v>231</v>
      </c>
      <c r="C209" s="72">
        <v>2011</v>
      </c>
      <c r="D209" s="1">
        <f t="shared" ref="D209:D271" si="66">Q209+E209</f>
        <v>27.333333333333332</v>
      </c>
      <c r="N209" s="267">
        <f t="shared" si="59"/>
        <v>27.333333333333332</v>
      </c>
      <c r="P209" s="96">
        <f t="shared" ref="P209:P271" si="67">I209+J209+K209+L209+N209</f>
        <v>27.333333333333332</v>
      </c>
      <c r="Q209" s="97">
        <f t="shared" si="60"/>
        <v>27.333333333333332</v>
      </c>
      <c r="S209" s="201"/>
      <c r="T209" s="192"/>
      <c r="U209" s="183"/>
      <c r="V209" s="168"/>
      <c r="W209" s="50"/>
      <c r="X209" s="50"/>
      <c r="Y209" s="215">
        <f t="shared" ref="Y209:Y215" si="68">AK209</f>
        <v>27.333333333333332</v>
      </c>
      <c r="Z209" s="120"/>
      <c r="AA209" s="96">
        <f>S209+T209+U209+V209+W209+X209+Y209</f>
        <v>27.333333333333332</v>
      </c>
      <c r="AB209" s="97">
        <f>IF(C209=2012, AA209/3,AA209)+Z209</f>
        <v>27.333333333333332</v>
      </c>
      <c r="AC209" s="287"/>
      <c r="AD209" s="287">
        <f>18</f>
        <v>18</v>
      </c>
      <c r="AE209" s="50">
        <f>30</f>
        <v>30</v>
      </c>
      <c r="AF209" s="50">
        <f>34</f>
        <v>34</v>
      </c>
      <c r="AG209" s="50"/>
      <c r="AH209" s="50"/>
      <c r="AI209" s="120"/>
      <c r="AJ209" s="96">
        <f>SUM(AD209:AH209)</f>
        <v>82</v>
      </c>
      <c r="AK209" s="97">
        <f>IF(C209=2011, AJ209/3,AJ209)+AI209</f>
        <v>27.333333333333332</v>
      </c>
      <c r="AL209" s="22"/>
      <c r="AM209" s="267"/>
      <c r="AN209" s="267"/>
      <c r="AO209" s="267"/>
      <c r="AP209" s="267"/>
      <c r="AQ209" s="267"/>
      <c r="AR209" s="267"/>
      <c r="AS209" s="265"/>
      <c r="AT209" s="95"/>
      <c r="AU209" s="96"/>
      <c r="AV209" s="97"/>
    </row>
    <row r="210" spans="1:48" x14ac:dyDescent="0.25">
      <c r="A210" s="71" t="s">
        <v>781</v>
      </c>
      <c r="B210" s="71" t="s">
        <v>63</v>
      </c>
      <c r="C210" s="72">
        <v>2010</v>
      </c>
      <c r="D210" s="1">
        <f t="shared" si="66"/>
        <v>35</v>
      </c>
      <c r="E210" s="108"/>
      <c r="F210" s="108"/>
      <c r="H210" s="101"/>
      <c r="N210" s="267">
        <f t="shared" si="59"/>
        <v>35</v>
      </c>
      <c r="P210" s="96">
        <f t="shared" si="67"/>
        <v>35</v>
      </c>
      <c r="Q210" s="97">
        <f t="shared" si="60"/>
        <v>35</v>
      </c>
      <c r="S210" s="201"/>
      <c r="T210" s="192"/>
      <c r="U210" s="183"/>
      <c r="V210" s="168">
        <f>10+3</f>
        <v>13</v>
      </c>
      <c r="W210" s="50">
        <f>12+1</f>
        <v>13</v>
      </c>
      <c r="X210" s="50">
        <f>8+1</f>
        <v>9</v>
      </c>
      <c r="Y210" s="215">
        <f t="shared" si="68"/>
        <v>0</v>
      </c>
      <c r="Z210" s="120"/>
      <c r="AA210" s="96">
        <f>S210+T210+U210+V210+W210+X210+Y210</f>
        <v>35</v>
      </c>
      <c r="AB210" s="97">
        <f>IF(C210=2012, AA210/3,AA210)+Z210</f>
        <v>35</v>
      </c>
      <c r="AC210" s="287"/>
      <c r="AD210" s="252"/>
      <c r="AE210" s="50"/>
      <c r="AF210" s="50"/>
      <c r="AG210" s="50"/>
      <c r="AH210" s="50"/>
      <c r="AI210" s="120"/>
      <c r="AJ210" s="96">
        <f>SUM(AD210:AH210)</f>
        <v>0</v>
      </c>
      <c r="AK210" s="97"/>
      <c r="AL210" s="22"/>
      <c r="AM210" s="287"/>
      <c r="AN210" s="287"/>
      <c r="AO210" s="287"/>
      <c r="AP210" s="287"/>
      <c r="AQ210" s="287"/>
      <c r="AR210" s="287"/>
      <c r="AS210" s="285"/>
      <c r="AT210" s="95"/>
      <c r="AU210" s="96"/>
      <c r="AV210" s="97"/>
    </row>
    <row r="211" spans="1:48" x14ac:dyDescent="0.25">
      <c r="A211" s="11" t="s">
        <v>144</v>
      </c>
      <c r="B211" s="60" t="s">
        <v>63</v>
      </c>
      <c r="C211" s="62">
        <v>2013</v>
      </c>
      <c r="D211" s="1">
        <f t="shared" si="66"/>
        <v>14</v>
      </c>
      <c r="H211" s="280"/>
      <c r="N211" s="267">
        <f t="shared" si="59"/>
        <v>42</v>
      </c>
      <c r="P211" s="96">
        <f t="shared" si="67"/>
        <v>42</v>
      </c>
      <c r="Q211" s="97">
        <f t="shared" si="60"/>
        <v>14</v>
      </c>
      <c r="S211" s="201"/>
      <c r="T211" s="192"/>
      <c r="U211" s="183"/>
      <c r="V211" s="168"/>
      <c r="W211" s="50"/>
      <c r="X211" s="50"/>
      <c r="Y211" s="215">
        <f t="shared" si="68"/>
        <v>42</v>
      </c>
      <c r="Z211" s="120"/>
      <c r="AA211" s="96">
        <f>AM211+S211+T211+U211+V211+W211+X211+Y211</f>
        <v>42</v>
      </c>
      <c r="AB211" s="97">
        <f>IF(C211=2017, AA211/3,AA211)+Z211</f>
        <v>42</v>
      </c>
      <c r="AC211" s="269"/>
      <c r="AD211" s="269"/>
      <c r="AE211" s="50"/>
      <c r="AF211" s="50"/>
      <c r="AG211" s="50"/>
      <c r="AH211" s="50">
        <f>AV211</f>
        <v>42</v>
      </c>
      <c r="AI211" s="120"/>
      <c r="AJ211" s="96">
        <f>SUM(AE211:AH211)</f>
        <v>42</v>
      </c>
      <c r="AK211" s="97">
        <f>IF(C211=2016, AJ211/3,AJ211)+AI211</f>
        <v>42</v>
      </c>
      <c r="AL211" s="22"/>
      <c r="AM211" s="41"/>
      <c r="AN211" s="41">
        <v>0</v>
      </c>
      <c r="AO211" s="41">
        <f>6</f>
        <v>6</v>
      </c>
      <c r="AP211" s="41">
        <f>36</f>
        <v>36</v>
      </c>
      <c r="AQ211" s="41">
        <f>0</f>
        <v>0</v>
      </c>
      <c r="AR211" s="41"/>
      <c r="AT211" s="95"/>
      <c r="AU211" s="96">
        <f>SUM(AM211:AS211)</f>
        <v>42</v>
      </c>
      <c r="AV211" s="97">
        <f>IF(C211=2015, AU211/3,AU211)+AT211</f>
        <v>42</v>
      </c>
    </row>
    <row r="212" spans="1:48" x14ac:dyDescent="0.25">
      <c r="A212" s="11" t="s">
        <v>582</v>
      </c>
      <c r="B212" s="60" t="s">
        <v>583</v>
      </c>
      <c r="C212" s="62">
        <v>2011</v>
      </c>
      <c r="D212" s="1">
        <f t="shared" si="66"/>
        <v>4</v>
      </c>
      <c r="H212" s="280"/>
      <c r="N212" s="267">
        <f t="shared" si="59"/>
        <v>4</v>
      </c>
      <c r="P212" s="96">
        <f t="shared" si="67"/>
        <v>4</v>
      </c>
      <c r="Q212" s="97">
        <f t="shared" si="60"/>
        <v>4</v>
      </c>
      <c r="S212" s="201"/>
      <c r="T212" s="192"/>
      <c r="U212" s="183"/>
      <c r="V212" s="168"/>
      <c r="W212" s="50"/>
      <c r="X212" s="252">
        <f>3</f>
        <v>3</v>
      </c>
      <c r="Y212" s="215">
        <f t="shared" si="68"/>
        <v>1</v>
      </c>
      <c r="Z212" s="120"/>
      <c r="AA212" s="96">
        <f>S212+T212+U212+V212+W212+X212+Y212</f>
        <v>4</v>
      </c>
      <c r="AB212" s="97">
        <f>IF(C212=2012, AA212/3,AA212)+Z212</f>
        <v>4</v>
      </c>
      <c r="AC212" s="287"/>
      <c r="AD212" s="50"/>
      <c r="AE212" s="50"/>
      <c r="AF212" s="50"/>
      <c r="AG212" s="50">
        <f>3</f>
        <v>3</v>
      </c>
      <c r="AH212" s="50"/>
      <c r="AI212" s="120"/>
      <c r="AJ212" s="96">
        <f>SUM(AD212:AH212)</f>
        <v>3</v>
      </c>
      <c r="AK212" s="97">
        <f>IF(C212=2011, AJ212/3,AJ212)+AI212</f>
        <v>1</v>
      </c>
      <c r="AL212" s="22"/>
      <c r="AM212" s="41"/>
      <c r="AN212" s="41"/>
      <c r="AO212" s="41"/>
      <c r="AP212" s="41"/>
      <c r="AQ212" s="41"/>
      <c r="AR212" s="41"/>
      <c r="AT212" s="95"/>
      <c r="AU212" s="96"/>
      <c r="AV212" s="97"/>
    </row>
    <row r="213" spans="1:48" x14ac:dyDescent="0.25">
      <c r="A213" s="11" t="s">
        <v>689</v>
      </c>
      <c r="B213" s="60" t="s">
        <v>7</v>
      </c>
      <c r="C213" s="62">
        <v>2013</v>
      </c>
      <c r="D213" s="1">
        <f t="shared" si="66"/>
        <v>0</v>
      </c>
      <c r="E213" s="154"/>
      <c r="F213" s="154"/>
      <c r="H213" s="280"/>
      <c r="N213" s="267">
        <f t="shared" si="59"/>
        <v>0</v>
      </c>
      <c r="P213" s="96">
        <f t="shared" si="67"/>
        <v>0</v>
      </c>
      <c r="Q213" s="97">
        <f t="shared" si="60"/>
        <v>0</v>
      </c>
      <c r="S213" s="201"/>
      <c r="T213" s="192"/>
      <c r="U213" s="183"/>
      <c r="V213" s="168"/>
      <c r="W213" s="50"/>
      <c r="X213" s="50"/>
      <c r="Y213" s="215">
        <f t="shared" si="68"/>
        <v>0</v>
      </c>
      <c r="Z213" s="152"/>
      <c r="AA213" s="96">
        <f>AM213+S213+T213+U213+V213+W213+X213+Y213</f>
        <v>0</v>
      </c>
      <c r="AB213" s="97">
        <f>IF(C213=2017, AA213/3,AA213)+Z213</f>
        <v>0</v>
      </c>
      <c r="AC213" s="290"/>
      <c r="AD213" s="290"/>
      <c r="AE213" s="50">
        <f>0</f>
        <v>0</v>
      </c>
      <c r="AF213" s="50"/>
      <c r="AG213" s="50"/>
      <c r="AH213" s="50"/>
      <c r="AI213" s="120"/>
      <c r="AJ213" s="96">
        <f>SUM(AE213:AH213)</f>
        <v>0</v>
      </c>
      <c r="AK213" s="97">
        <f>IF(C213=2016, AJ213/3,AJ213)+AI213</f>
        <v>0</v>
      </c>
      <c r="AL213" s="22"/>
      <c r="AM213" s="151"/>
      <c r="AN213" s="151"/>
      <c r="AO213" s="151"/>
      <c r="AP213" s="151"/>
      <c r="AQ213" s="151"/>
      <c r="AR213" s="151"/>
      <c r="AT213" s="95"/>
      <c r="AU213" s="96">
        <f>SUM(AM213:AS213)</f>
        <v>0</v>
      </c>
      <c r="AV213" s="97">
        <f>IF(C213=2015, AU213/3,AU213)+AT213</f>
        <v>0</v>
      </c>
    </row>
    <row r="214" spans="1:48" x14ac:dyDescent="0.25">
      <c r="A214" s="11" t="s">
        <v>116</v>
      </c>
      <c r="B214" s="60" t="s">
        <v>64</v>
      </c>
      <c r="C214" s="62">
        <v>2010</v>
      </c>
      <c r="D214" s="1">
        <f t="shared" si="66"/>
        <v>12.333333333333334</v>
      </c>
      <c r="H214" s="290"/>
      <c r="I214" s="154"/>
      <c r="J214" s="154"/>
      <c r="K214" s="154"/>
      <c r="L214" s="154"/>
      <c r="M214" s="154"/>
      <c r="N214" s="267">
        <f t="shared" si="59"/>
        <v>12.333333333333334</v>
      </c>
      <c r="P214" s="96">
        <f t="shared" si="67"/>
        <v>12.333333333333334</v>
      </c>
      <c r="Q214" s="97">
        <f t="shared" si="60"/>
        <v>12.333333333333334</v>
      </c>
      <c r="R214" s="154"/>
      <c r="S214" s="201"/>
      <c r="T214" s="192"/>
      <c r="U214" s="183"/>
      <c r="V214" s="168"/>
      <c r="W214" s="50"/>
      <c r="X214" s="50"/>
      <c r="Y214" s="215">
        <f t="shared" si="68"/>
        <v>12.333333333333334</v>
      </c>
      <c r="Z214" s="120"/>
      <c r="AA214" s="96">
        <f>S214+T214+U214+V214+W214+X214+Y214</f>
        <v>12.333333333333334</v>
      </c>
      <c r="AB214" s="97">
        <f>IF(C214=2012, AA214/3,AA214)+Z214</f>
        <v>12.333333333333334</v>
      </c>
      <c r="AC214" s="22"/>
      <c r="AD214" s="287"/>
      <c r="AE214" s="50"/>
      <c r="AF214" s="50"/>
      <c r="AG214" s="50"/>
      <c r="AH214" s="50">
        <f>AV214</f>
        <v>12.333333333333334</v>
      </c>
      <c r="AI214" s="120"/>
      <c r="AJ214" s="96">
        <f>SUM(AD214:AH214)</f>
        <v>12.333333333333334</v>
      </c>
      <c r="AK214" s="97">
        <f>IF(C214=2011, AJ214/3,AJ214)+AI214</f>
        <v>12.333333333333334</v>
      </c>
      <c r="AL214" s="22"/>
      <c r="AM214" s="41"/>
      <c r="AN214" s="41">
        <v>37</v>
      </c>
      <c r="AO214" s="41"/>
      <c r="AP214" s="41"/>
      <c r="AQ214" s="41"/>
      <c r="AR214" s="41"/>
      <c r="AT214" s="95"/>
      <c r="AU214" s="96">
        <f>SUM(AM214:AS214)</f>
        <v>37</v>
      </c>
      <c r="AV214" s="97">
        <f>IF(C214=2010, AU214/3,AU214)+AT214</f>
        <v>12.333333333333334</v>
      </c>
    </row>
    <row r="215" spans="1:48" x14ac:dyDescent="0.25">
      <c r="A215" s="11" t="s">
        <v>410</v>
      </c>
      <c r="B215" s="71" t="s">
        <v>272</v>
      </c>
      <c r="C215" s="62">
        <v>2013</v>
      </c>
      <c r="D215" s="1">
        <f t="shared" si="66"/>
        <v>3.3333333333333335</v>
      </c>
      <c r="E215" s="287"/>
      <c r="F215" s="287"/>
      <c r="H215" s="290"/>
      <c r="N215" s="267">
        <f t="shared" si="59"/>
        <v>10</v>
      </c>
      <c r="P215" s="96">
        <f t="shared" si="67"/>
        <v>10</v>
      </c>
      <c r="Q215" s="97">
        <f t="shared" si="60"/>
        <v>3.3333333333333335</v>
      </c>
      <c r="S215" s="201"/>
      <c r="T215" s="192"/>
      <c r="U215" s="183"/>
      <c r="V215" s="168"/>
      <c r="W215" s="168"/>
      <c r="X215" s="172"/>
      <c r="Y215" s="215">
        <f t="shared" si="68"/>
        <v>10</v>
      </c>
      <c r="Z215" s="120"/>
      <c r="AA215" s="96">
        <f>AM215+S215+T215+U215+V215+W215+X215+Y215</f>
        <v>10</v>
      </c>
      <c r="AB215" s="97">
        <f>IF(C215=2017, AA215/3,AA215)+Z215</f>
        <v>10</v>
      </c>
      <c r="AC215" s="269"/>
      <c r="AD215" s="269"/>
      <c r="AE215" s="50"/>
      <c r="AF215" s="50"/>
      <c r="AG215" s="50"/>
      <c r="AH215" s="50">
        <f>AV215</f>
        <v>10</v>
      </c>
      <c r="AI215" s="120"/>
      <c r="AJ215" s="96">
        <f>SUM(AE215:AH215)</f>
        <v>10</v>
      </c>
      <c r="AK215" s="97">
        <f>IF(C215=2016, AJ215/3,AJ215)+AI215</f>
        <v>10</v>
      </c>
      <c r="AL215" s="22"/>
      <c r="AM215" s="41"/>
      <c r="AN215" s="41"/>
      <c r="AO215" s="41"/>
      <c r="AP215" s="41"/>
      <c r="AQ215" s="41">
        <f>10</f>
        <v>10</v>
      </c>
      <c r="AR215" s="41">
        <f>0</f>
        <v>0</v>
      </c>
      <c r="AT215" s="95"/>
      <c r="AU215" s="96">
        <f>SUM(AM215:AS215)</f>
        <v>10</v>
      </c>
      <c r="AV215" s="97">
        <f>IF(C215=2015, AU215/3,AU215)+AT215</f>
        <v>10</v>
      </c>
    </row>
    <row r="216" spans="1:48" x14ac:dyDescent="0.25">
      <c r="A216" s="11" t="s">
        <v>1248</v>
      </c>
      <c r="B216" s="65" t="s">
        <v>697</v>
      </c>
      <c r="C216" s="3">
        <v>2012</v>
      </c>
      <c r="D216" s="1">
        <f t="shared" si="66"/>
        <v>39</v>
      </c>
      <c r="E216" s="287">
        <f>36</f>
        <v>36</v>
      </c>
      <c r="F216" s="287"/>
      <c r="I216" s="261">
        <f>0</f>
        <v>0</v>
      </c>
      <c r="K216" s="241">
        <f>0+3</f>
        <v>3</v>
      </c>
      <c r="N216" s="267">
        <f t="shared" si="59"/>
        <v>0</v>
      </c>
      <c r="P216" s="96">
        <f t="shared" si="67"/>
        <v>3</v>
      </c>
      <c r="Q216" s="97">
        <f t="shared" si="60"/>
        <v>3</v>
      </c>
    </row>
    <row r="217" spans="1:48" x14ac:dyDescent="0.25">
      <c r="A217" s="11" t="s">
        <v>568</v>
      </c>
      <c r="B217" s="71" t="s">
        <v>64</v>
      </c>
      <c r="C217" s="62">
        <v>2011</v>
      </c>
      <c r="D217" s="1">
        <f t="shared" si="66"/>
        <v>81</v>
      </c>
      <c r="E217" s="154"/>
      <c r="F217" s="154"/>
      <c r="H217" s="280"/>
      <c r="I217" s="261">
        <f>0</f>
        <v>0</v>
      </c>
      <c r="J217" s="246">
        <v>27</v>
      </c>
      <c r="K217" s="241">
        <f>0</f>
        <v>0</v>
      </c>
      <c r="N217" s="267">
        <f t="shared" si="59"/>
        <v>54</v>
      </c>
      <c r="P217" s="96">
        <f t="shared" si="67"/>
        <v>81</v>
      </c>
      <c r="Q217" s="97">
        <f t="shared" si="60"/>
        <v>81</v>
      </c>
      <c r="S217" s="201"/>
      <c r="T217" s="192">
        <f>0</f>
        <v>0</v>
      </c>
      <c r="U217" s="183"/>
      <c r="V217" s="168"/>
      <c r="W217" s="50">
        <f>0+18</f>
        <v>18</v>
      </c>
      <c r="X217" s="50">
        <f>0+6</f>
        <v>6</v>
      </c>
      <c r="Y217" s="215">
        <f>AK217</f>
        <v>30</v>
      </c>
      <c r="Z217" s="120"/>
      <c r="AA217" s="96">
        <f>S217+T217+U217+V217+W217+X217+Y217</f>
        <v>54</v>
      </c>
      <c r="AB217" s="97">
        <f>IF(C217=2012, AA217/3,AA217)+Z217</f>
        <v>54</v>
      </c>
      <c r="AC217" s="287"/>
      <c r="AD217" s="231"/>
      <c r="AE217" s="50"/>
      <c r="AF217" s="50">
        <f>90</f>
        <v>90</v>
      </c>
      <c r="AG217" s="50">
        <f>0</f>
        <v>0</v>
      </c>
      <c r="AH217" s="50"/>
      <c r="AI217" s="120"/>
      <c r="AJ217" s="96">
        <f>SUM(AD217:AH217)</f>
        <v>90</v>
      </c>
      <c r="AK217" s="97">
        <f>IF(C217=2011, AJ217/3,AJ217)+AI217</f>
        <v>30</v>
      </c>
      <c r="AL217" s="22"/>
      <c r="AM217" s="41"/>
      <c r="AN217" s="41"/>
      <c r="AO217" s="41"/>
      <c r="AP217" s="41"/>
      <c r="AQ217" s="41"/>
      <c r="AR217" s="41"/>
      <c r="AT217" s="95"/>
      <c r="AU217" s="96"/>
      <c r="AV217" s="97"/>
    </row>
    <row r="218" spans="1:48" x14ac:dyDescent="0.25">
      <c r="A218" s="11" t="s">
        <v>760</v>
      </c>
      <c r="B218" s="60" t="s">
        <v>64</v>
      </c>
      <c r="C218" s="62">
        <v>2013</v>
      </c>
      <c r="D218" s="1">
        <f t="shared" si="66"/>
        <v>39.666666666666664</v>
      </c>
      <c r="E218" s="283">
        <f>0</f>
        <v>0</v>
      </c>
      <c r="H218" s="290"/>
      <c r="J218" s="246">
        <f>0</f>
        <v>0</v>
      </c>
      <c r="K218" s="241">
        <f>33</f>
        <v>33</v>
      </c>
      <c r="L218" s="228">
        <f>38</f>
        <v>38</v>
      </c>
      <c r="N218" s="267">
        <f t="shared" si="59"/>
        <v>48</v>
      </c>
      <c r="P218" s="96">
        <f t="shared" si="67"/>
        <v>119</v>
      </c>
      <c r="Q218" s="97">
        <f t="shared" si="60"/>
        <v>39.666666666666664</v>
      </c>
      <c r="S218" s="201"/>
      <c r="T218" s="192"/>
      <c r="U218" s="183"/>
      <c r="V218" s="168">
        <f>0+6</f>
        <v>6</v>
      </c>
      <c r="W218" s="50">
        <f>31</f>
        <v>31</v>
      </c>
      <c r="X218" s="267">
        <f>11</f>
        <v>11</v>
      </c>
      <c r="Y218" s="215">
        <f>AK218</f>
        <v>0</v>
      </c>
      <c r="Z218" s="152"/>
      <c r="AA218" s="96">
        <f>AM218+S218+T218+U218+V218+W218+X218+Y218</f>
        <v>48</v>
      </c>
      <c r="AB218" s="97">
        <f>IF(C218=2017, AA218/3,AA218)+Z218</f>
        <v>48</v>
      </c>
      <c r="AC218" s="290"/>
      <c r="AD218" s="290"/>
      <c r="AE218" s="50"/>
      <c r="AF218" s="50"/>
      <c r="AG218" s="50"/>
      <c r="AH218" s="50"/>
      <c r="AI218" s="120"/>
      <c r="AJ218" s="96">
        <f>SUM(AE218:AH218)</f>
        <v>0</v>
      </c>
      <c r="AK218" s="97">
        <f>IF(C218=2016, AJ218/3,AJ218)+AI218</f>
        <v>0</v>
      </c>
      <c r="AL218" s="22"/>
      <c r="AM218" s="151"/>
      <c r="AN218" s="151"/>
      <c r="AO218" s="151"/>
      <c r="AP218" s="151"/>
      <c r="AQ218" s="151"/>
      <c r="AR218" s="151"/>
      <c r="AT218" s="95"/>
      <c r="AU218" s="96"/>
      <c r="AV218" s="97"/>
    </row>
    <row r="219" spans="1:48" x14ac:dyDescent="0.25">
      <c r="A219" s="11" t="s">
        <v>1198</v>
      </c>
      <c r="B219" s="87" t="s">
        <v>87</v>
      </c>
      <c r="C219" s="3">
        <v>2011</v>
      </c>
      <c r="D219" s="1">
        <f t="shared" si="66"/>
        <v>24</v>
      </c>
      <c r="H219" s="280"/>
      <c r="J219" s="252"/>
      <c r="K219" s="252"/>
      <c r="L219" s="252">
        <f>0</f>
        <v>0</v>
      </c>
      <c r="M219" s="252"/>
      <c r="N219" s="267">
        <f t="shared" si="59"/>
        <v>0</v>
      </c>
      <c r="O219" s="120">
        <f>24</f>
        <v>24</v>
      </c>
      <c r="P219" s="96">
        <f t="shared" si="67"/>
        <v>0</v>
      </c>
      <c r="Q219" s="97">
        <f t="shared" si="60"/>
        <v>24</v>
      </c>
      <c r="R219" s="252"/>
    </row>
    <row r="220" spans="1:48" x14ac:dyDescent="0.25">
      <c r="A220" s="11" t="s">
        <v>1001</v>
      </c>
      <c r="B220" s="60" t="s">
        <v>86</v>
      </c>
      <c r="C220" s="62">
        <v>2012</v>
      </c>
      <c r="D220" s="1">
        <f t="shared" si="66"/>
        <v>4</v>
      </c>
      <c r="H220" s="280"/>
      <c r="I220" s="287"/>
      <c r="J220" s="287"/>
      <c r="K220" s="287"/>
      <c r="L220" s="287">
        <f>0+4</f>
        <v>4</v>
      </c>
      <c r="M220" s="287"/>
      <c r="N220" s="267">
        <f t="shared" si="59"/>
        <v>0</v>
      </c>
      <c r="P220" s="96">
        <f t="shared" si="67"/>
        <v>4</v>
      </c>
      <c r="Q220" s="97">
        <f t="shared" si="60"/>
        <v>4</v>
      </c>
      <c r="R220" s="287"/>
      <c r="S220" s="201">
        <f>0</f>
        <v>0</v>
      </c>
      <c r="T220" s="192"/>
      <c r="U220" s="183"/>
      <c r="V220" s="168"/>
      <c r="W220" s="50"/>
      <c r="X220" s="50"/>
      <c r="Y220" s="215">
        <f>AK220</f>
        <v>0</v>
      </c>
      <c r="Z220" s="152"/>
      <c r="AA220" s="96">
        <f>S220+T220+U220+V220+W220+X220+Y220</f>
        <v>0</v>
      </c>
      <c r="AB220" s="97">
        <f>IF(C220=2012, AA220/3,AA220)+Z220</f>
        <v>0</v>
      </c>
      <c r="AE220" s="50"/>
      <c r="AF220" s="50"/>
      <c r="AG220" s="50"/>
      <c r="AH220" s="50"/>
      <c r="AI220" s="120"/>
      <c r="AJ220" s="96">
        <f>SUM(AD220:AH220)</f>
        <v>0</v>
      </c>
      <c r="AK220" s="97">
        <f>IF(C220=2011, AJ220/3,AJ220)+AI220</f>
        <v>0</v>
      </c>
      <c r="AL220" s="22"/>
      <c r="AM220" s="151"/>
      <c r="AN220" s="151"/>
      <c r="AO220" s="151"/>
      <c r="AP220" s="151"/>
      <c r="AQ220" s="151"/>
      <c r="AR220" s="151"/>
      <c r="AT220" s="95"/>
      <c r="AU220" s="96"/>
      <c r="AV220" s="97"/>
    </row>
    <row r="221" spans="1:48" x14ac:dyDescent="0.25">
      <c r="A221" s="11" t="s">
        <v>1170</v>
      </c>
      <c r="B221" s="87" t="s">
        <v>87</v>
      </c>
      <c r="C221" s="3">
        <v>2010</v>
      </c>
      <c r="D221" s="1">
        <f t="shared" si="66"/>
        <v>21</v>
      </c>
      <c r="L221" s="228">
        <v>21</v>
      </c>
      <c r="N221" s="267">
        <f t="shared" si="59"/>
        <v>0</v>
      </c>
      <c r="P221" s="96">
        <f t="shared" si="67"/>
        <v>21</v>
      </c>
      <c r="Q221" s="97">
        <f t="shared" si="60"/>
        <v>21</v>
      </c>
    </row>
    <row r="222" spans="1:48" x14ac:dyDescent="0.25">
      <c r="A222" s="11" t="s">
        <v>143</v>
      </c>
      <c r="B222" s="60" t="s">
        <v>86</v>
      </c>
      <c r="C222" s="62">
        <v>2010</v>
      </c>
      <c r="D222" s="1">
        <f t="shared" si="66"/>
        <v>9.3333333333333339</v>
      </c>
      <c r="I222" s="154"/>
      <c r="J222" s="154"/>
      <c r="K222" s="154"/>
      <c r="L222" s="154"/>
      <c r="M222" s="154"/>
      <c r="N222" s="267">
        <f t="shared" si="59"/>
        <v>9.3333333333333339</v>
      </c>
      <c r="P222" s="96">
        <f t="shared" si="67"/>
        <v>9.3333333333333339</v>
      </c>
      <c r="Q222" s="97">
        <f t="shared" si="60"/>
        <v>9.3333333333333339</v>
      </c>
      <c r="R222" s="154"/>
      <c r="S222" s="201"/>
      <c r="T222" s="192"/>
      <c r="U222" s="183"/>
      <c r="V222" s="168"/>
      <c r="W222" s="50"/>
      <c r="X222" s="201"/>
      <c r="Y222" s="215">
        <f>AK222</f>
        <v>9.3333333333333339</v>
      </c>
      <c r="Z222" s="120"/>
      <c r="AA222" s="96">
        <f>S222+T222+U222+V222+W222+X222+Y222</f>
        <v>9.3333333333333339</v>
      </c>
      <c r="AB222" s="97">
        <f>IF(C222=2012, AA222/3,AA222)+Z222</f>
        <v>9.3333333333333339</v>
      </c>
      <c r="AC222" s="22"/>
      <c r="AD222" s="287"/>
      <c r="AE222" s="50"/>
      <c r="AF222" s="50"/>
      <c r="AG222" s="50"/>
      <c r="AH222" s="50">
        <f>AV222</f>
        <v>9.3333333333333339</v>
      </c>
      <c r="AI222" s="120"/>
      <c r="AJ222" s="96">
        <f>SUM(AD222:AH222)</f>
        <v>9.3333333333333339</v>
      </c>
      <c r="AK222" s="97">
        <f>IF(C222=2011, AJ222/3,AJ222)+AI222</f>
        <v>9.3333333333333339</v>
      </c>
      <c r="AL222" s="22"/>
      <c r="AM222" s="41"/>
      <c r="AN222" s="41">
        <v>0</v>
      </c>
      <c r="AO222" s="41"/>
      <c r="AP222" s="41">
        <f>28</f>
        <v>28</v>
      </c>
      <c r="AQ222" s="41"/>
      <c r="AR222" s="41"/>
      <c r="AT222" s="95"/>
      <c r="AU222" s="96">
        <f>SUM(AM222:AS222)</f>
        <v>28</v>
      </c>
      <c r="AV222" s="97">
        <f>IF(C222=2010, AU222/3,AU222)+AT222</f>
        <v>9.3333333333333339</v>
      </c>
    </row>
    <row r="223" spans="1:48" x14ac:dyDescent="0.25">
      <c r="A223" s="11" t="s">
        <v>1244</v>
      </c>
      <c r="B223" s="87" t="s">
        <v>231</v>
      </c>
      <c r="C223" s="3">
        <v>2011</v>
      </c>
      <c r="D223" s="1">
        <f t="shared" si="66"/>
        <v>4</v>
      </c>
      <c r="E223" s="283">
        <f>4</f>
        <v>4</v>
      </c>
      <c r="J223" s="252"/>
      <c r="K223" s="252">
        <f>0</f>
        <v>0</v>
      </c>
      <c r="L223" s="252"/>
      <c r="M223" s="252"/>
      <c r="N223" s="267">
        <f t="shared" si="59"/>
        <v>0</v>
      </c>
      <c r="P223" s="96">
        <f t="shared" si="67"/>
        <v>0</v>
      </c>
      <c r="Q223" s="97">
        <f t="shared" si="60"/>
        <v>0</v>
      </c>
      <c r="R223" s="252"/>
    </row>
    <row r="224" spans="1:48" x14ac:dyDescent="0.25">
      <c r="A224" s="11" t="s">
        <v>1125</v>
      </c>
      <c r="B224" s="11" t="s">
        <v>1088</v>
      </c>
      <c r="C224" s="3">
        <v>2013</v>
      </c>
      <c r="D224" s="1">
        <f t="shared" si="66"/>
        <v>0</v>
      </c>
      <c r="L224" s="228">
        <f>0</f>
        <v>0</v>
      </c>
      <c r="N224" s="267">
        <f t="shared" si="59"/>
        <v>0</v>
      </c>
      <c r="P224" s="96">
        <f t="shared" si="67"/>
        <v>0</v>
      </c>
      <c r="Q224" s="97">
        <f t="shared" si="60"/>
        <v>0</v>
      </c>
      <c r="S224" s="201"/>
      <c r="T224" s="192"/>
      <c r="U224" s="183"/>
      <c r="V224" s="168"/>
      <c r="W224" s="50"/>
      <c r="X224" s="50"/>
      <c r="Y224" s="215"/>
      <c r="Z224" s="287"/>
      <c r="AE224" s="50"/>
      <c r="AF224" s="50"/>
      <c r="AG224" s="50"/>
      <c r="AH224" s="50"/>
      <c r="AI224" s="287"/>
      <c r="AL224" s="285"/>
      <c r="AM224" s="287"/>
      <c r="AN224" s="287"/>
      <c r="AO224" s="287"/>
      <c r="AP224" s="287"/>
      <c r="AQ224" s="287"/>
      <c r="AR224" s="287"/>
      <c r="AS224" s="285"/>
    </row>
    <row r="225" spans="1:48" x14ac:dyDescent="0.25">
      <c r="A225" s="11" t="s">
        <v>947</v>
      </c>
      <c r="B225" s="60" t="s">
        <v>63</v>
      </c>
      <c r="C225" s="62">
        <v>2013</v>
      </c>
      <c r="D225" s="1">
        <f t="shared" si="66"/>
        <v>3</v>
      </c>
      <c r="H225" s="280"/>
      <c r="N225" s="267">
        <f t="shared" si="59"/>
        <v>9</v>
      </c>
      <c r="P225" s="96">
        <f t="shared" si="67"/>
        <v>9</v>
      </c>
      <c r="Q225" s="97">
        <f t="shared" si="60"/>
        <v>3</v>
      </c>
      <c r="S225" s="201">
        <f>0</f>
        <v>0</v>
      </c>
      <c r="T225" s="192">
        <f>9</f>
        <v>9</v>
      </c>
      <c r="U225" s="183"/>
      <c r="V225" s="168"/>
      <c r="W225" s="50"/>
      <c r="X225" s="50"/>
      <c r="Y225" s="215">
        <f t="shared" ref="Y225:Y232" si="69">AK225</f>
        <v>0</v>
      </c>
      <c r="Z225" s="152"/>
      <c r="AA225" s="96">
        <f>AM225+S225+T225+U225+V225+W225+X225+Y225</f>
        <v>9</v>
      </c>
      <c r="AB225" s="97">
        <f>IF(C225=2017, AA225/3,AA225)+Z225</f>
        <v>9</v>
      </c>
      <c r="AE225" s="50"/>
      <c r="AF225" s="50"/>
      <c r="AG225" s="50"/>
      <c r="AH225" s="50"/>
      <c r="AI225" s="120"/>
      <c r="AJ225" s="96">
        <f>SUM(AE225:AH225)</f>
        <v>0</v>
      </c>
      <c r="AK225" s="97">
        <f>IF(C225=2016, AJ225/3,AJ225)+AI225</f>
        <v>0</v>
      </c>
      <c r="AL225" s="22"/>
      <c r="AM225" s="151"/>
      <c r="AN225" s="151"/>
      <c r="AO225" s="151"/>
      <c r="AP225" s="151"/>
      <c r="AQ225" s="151"/>
      <c r="AR225" s="151"/>
      <c r="AT225" s="95"/>
      <c r="AU225" s="96"/>
      <c r="AV225" s="97"/>
    </row>
    <row r="226" spans="1:48" x14ac:dyDescent="0.25">
      <c r="A226" s="11" t="s">
        <v>757</v>
      </c>
      <c r="B226" s="71" t="s">
        <v>296</v>
      </c>
      <c r="C226" s="62">
        <v>2012</v>
      </c>
      <c r="D226" s="1">
        <f t="shared" si="66"/>
        <v>2</v>
      </c>
      <c r="K226" s="241">
        <f>0</f>
        <v>0</v>
      </c>
      <c r="N226" s="267">
        <f t="shared" si="59"/>
        <v>2</v>
      </c>
      <c r="P226" s="96">
        <f t="shared" si="67"/>
        <v>2</v>
      </c>
      <c r="Q226" s="97">
        <f t="shared" si="60"/>
        <v>2</v>
      </c>
      <c r="S226" s="201"/>
      <c r="T226" s="192"/>
      <c r="U226" s="183">
        <f>6</f>
        <v>6</v>
      </c>
      <c r="V226" s="168">
        <f>0</f>
        <v>0</v>
      </c>
      <c r="W226" s="50"/>
      <c r="X226" s="50">
        <f>0</f>
        <v>0</v>
      </c>
      <c r="Y226" s="215">
        <f t="shared" si="69"/>
        <v>0</v>
      </c>
      <c r="Z226" s="152"/>
      <c r="AA226" s="96">
        <f>S226+T226+U226+V226+W226+X226+Y226</f>
        <v>6</v>
      </c>
      <c r="AB226" s="97">
        <f>IF(C226=2012, AA226/3,AA226)+Z226</f>
        <v>2</v>
      </c>
      <c r="AC226" s="290"/>
      <c r="AD226" s="290"/>
      <c r="AE226" s="50"/>
      <c r="AF226" s="50"/>
      <c r="AG226" s="50"/>
      <c r="AH226" s="50"/>
      <c r="AI226" s="120"/>
      <c r="AJ226" s="96">
        <f>SUM(AD226:AH226)</f>
        <v>0</v>
      </c>
      <c r="AK226" s="97">
        <f>IF(C226=2011, AJ226/3,AJ226)+AI226</f>
        <v>0</v>
      </c>
      <c r="AL226" s="22"/>
      <c r="AM226" s="151"/>
      <c r="AN226" s="151"/>
      <c r="AO226" s="151"/>
      <c r="AP226" s="151"/>
      <c r="AQ226" s="151"/>
      <c r="AR226" s="151"/>
      <c r="AT226" s="95"/>
      <c r="AU226" s="96"/>
      <c r="AV226" s="97"/>
    </row>
    <row r="227" spans="1:48" x14ac:dyDescent="0.25">
      <c r="A227" s="11" t="s">
        <v>487</v>
      </c>
      <c r="B227" s="60" t="s">
        <v>488</v>
      </c>
      <c r="C227" s="62">
        <v>2013</v>
      </c>
      <c r="D227" s="1">
        <f t="shared" si="66"/>
        <v>237</v>
      </c>
      <c r="H227" s="280"/>
      <c r="I227" s="267"/>
      <c r="J227" s="267">
        <f>114</f>
        <v>114</v>
      </c>
      <c r="K227" s="267">
        <f>105</f>
        <v>105</v>
      </c>
      <c r="L227" s="267"/>
      <c r="M227" s="267"/>
      <c r="N227" s="267">
        <f t="shared" si="59"/>
        <v>492</v>
      </c>
      <c r="P227" s="96">
        <f t="shared" si="67"/>
        <v>711</v>
      </c>
      <c r="Q227" s="97">
        <f t="shared" si="60"/>
        <v>237</v>
      </c>
      <c r="R227" s="267"/>
      <c r="S227" s="201"/>
      <c r="T227" s="192">
        <f>75</f>
        <v>75</v>
      </c>
      <c r="U227" s="183">
        <f>51</f>
        <v>51</v>
      </c>
      <c r="V227" s="168">
        <f>69</f>
        <v>69</v>
      </c>
      <c r="W227" s="50">
        <f>72</f>
        <v>72</v>
      </c>
      <c r="X227" s="50">
        <f>57</f>
        <v>57</v>
      </c>
      <c r="Y227" s="215">
        <f t="shared" si="69"/>
        <v>168</v>
      </c>
      <c r="Z227" s="120"/>
      <c r="AA227" s="96">
        <f>AM227+S227+T227+U227+V227+W227+X227+Y227</f>
        <v>492</v>
      </c>
      <c r="AB227" s="97">
        <f>IF(C227=2017, AA227/3,AA227)+Z227</f>
        <v>492</v>
      </c>
      <c r="AC227" s="290"/>
      <c r="AD227" s="290"/>
      <c r="AE227" s="50">
        <f>84</f>
        <v>84</v>
      </c>
      <c r="AF227" s="50"/>
      <c r="AG227" s="50"/>
      <c r="AH227" s="50">
        <f>AV227</f>
        <v>84</v>
      </c>
      <c r="AI227" s="120"/>
      <c r="AJ227" s="96">
        <f>SUM(AE227:AH227)</f>
        <v>168</v>
      </c>
      <c r="AK227" s="97">
        <f>IF(C227=2016, AJ227/3,AJ227)+AI227</f>
        <v>168</v>
      </c>
      <c r="AL227" s="22"/>
      <c r="AM227" s="41"/>
      <c r="AN227" s="41"/>
      <c r="AO227" s="41"/>
      <c r="AP227" s="41"/>
      <c r="AQ227" s="41"/>
      <c r="AR227" s="41">
        <f>84</f>
        <v>84</v>
      </c>
      <c r="AT227" s="95"/>
      <c r="AU227" s="96">
        <f>SUM(AM227:AS227)</f>
        <v>84</v>
      </c>
      <c r="AV227" s="97">
        <f>IF(C227=2015, AU227/3,AU227)+AT227</f>
        <v>84</v>
      </c>
    </row>
    <row r="228" spans="1:48" x14ac:dyDescent="0.25">
      <c r="A228" s="71" t="s">
        <v>255</v>
      </c>
      <c r="B228" s="71" t="s">
        <v>231</v>
      </c>
      <c r="C228" s="72">
        <v>2011</v>
      </c>
      <c r="D228" s="1">
        <f t="shared" si="66"/>
        <v>0</v>
      </c>
      <c r="E228" s="154"/>
      <c r="F228" s="154"/>
      <c r="H228" s="280"/>
      <c r="N228" s="267">
        <f t="shared" si="59"/>
        <v>0</v>
      </c>
      <c r="P228" s="96">
        <f t="shared" si="67"/>
        <v>0</v>
      </c>
      <c r="Q228" s="97">
        <f t="shared" si="60"/>
        <v>0</v>
      </c>
      <c r="S228" s="201"/>
      <c r="T228" s="192"/>
      <c r="U228" s="183"/>
      <c r="V228" s="168"/>
      <c r="W228" s="50"/>
      <c r="X228" s="50"/>
      <c r="Y228" s="215">
        <f t="shared" si="69"/>
        <v>0</v>
      </c>
      <c r="Z228" s="120"/>
      <c r="AA228" s="96">
        <f>S228+T228+U228+V228+W228+X228+Y228</f>
        <v>0</v>
      </c>
      <c r="AB228" s="97">
        <f>IF(C228=2012, AA228/3,AA228)+Z228</f>
        <v>0</v>
      </c>
      <c r="AC228" s="287"/>
      <c r="AD228" s="50"/>
      <c r="AE228" s="50"/>
      <c r="AF228" s="50"/>
      <c r="AG228" s="50"/>
      <c r="AH228" s="50">
        <f>AV228</f>
        <v>0</v>
      </c>
      <c r="AI228" s="120"/>
      <c r="AJ228" s="96">
        <f>SUM(AD228:AH228)</f>
        <v>0</v>
      </c>
      <c r="AK228" s="97">
        <f>IF(C228=2011, AJ228/3,AJ228)+AI228</f>
        <v>0</v>
      </c>
      <c r="AL228" s="22"/>
      <c r="AM228" s="267"/>
      <c r="AN228" s="267"/>
      <c r="AO228" s="267">
        <f>0</f>
        <v>0</v>
      </c>
      <c r="AP228" s="267"/>
      <c r="AQ228" s="267"/>
      <c r="AR228" s="267"/>
      <c r="AS228" s="265"/>
      <c r="AT228" s="95"/>
      <c r="AU228" s="96">
        <f>SUM(AM228:AS228)</f>
        <v>0</v>
      </c>
      <c r="AV228" s="97">
        <f>IF(C228=2015, AU228/3,AU228)+AT228</f>
        <v>0</v>
      </c>
    </row>
    <row r="229" spans="1:48" x14ac:dyDescent="0.25">
      <c r="A229" s="11" t="s">
        <v>842</v>
      </c>
      <c r="B229" s="71" t="s">
        <v>85</v>
      </c>
      <c r="C229" s="62">
        <v>2013</v>
      </c>
      <c r="D229" s="1">
        <f t="shared" si="66"/>
        <v>26.333333333333332</v>
      </c>
      <c r="N229" s="267">
        <f t="shared" ref="N229:N291" si="70">AB229</f>
        <v>79</v>
      </c>
      <c r="P229" s="96">
        <f t="shared" si="67"/>
        <v>79</v>
      </c>
      <c r="Q229" s="97">
        <f t="shared" ref="Q229:Q291" si="71">IF(C229=2013, P229/3,P229)+O229</f>
        <v>26.333333333333332</v>
      </c>
      <c r="S229" s="201"/>
      <c r="T229" s="192"/>
      <c r="U229" s="183"/>
      <c r="V229" s="168"/>
      <c r="W229" s="50">
        <f>72+4+3</f>
        <v>79</v>
      </c>
      <c r="X229" s="201"/>
      <c r="Y229" s="215">
        <f t="shared" si="69"/>
        <v>0</v>
      </c>
      <c r="Z229" s="152"/>
      <c r="AA229" s="96">
        <f>AM229+S229+T229+U229+V229+W229+X229+Y229</f>
        <v>79</v>
      </c>
      <c r="AB229" s="97">
        <f>IF(C229=2017, AA229/3,AA229)+Z229</f>
        <v>79</v>
      </c>
      <c r="AE229" s="50"/>
      <c r="AF229" s="50"/>
      <c r="AG229" s="50"/>
      <c r="AH229" s="50"/>
      <c r="AI229" s="120"/>
      <c r="AJ229" s="96">
        <f>SUM(AE229:AH229)</f>
        <v>0</v>
      </c>
      <c r="AK229" s="97">
        <f>IF(C229=2016, AJ229/3,AJ229)+AI229</f>
        <v>0</v>
      </c>
      <c r="AL229" s="22"/>
      <c r="AM229" s="151"/>
      <c r="AN229" s="151"/>
      <c r="AO229" s="151"/>
      <c r="AP229" s="151"/>
      <c r="AQ229" s="151"/>
      <c r="AR229" s="151"/>
      <c r="AT229" s="95"/>
      <c r="AU229" s="96"/>
      <c r="AV229" s="97"/>
    </row>
    <row r="230" spans="1:48" x14ac:dyDescent="0.25">
      <c r="A230" s="11" t="s">
        <v>763</v>
      </c>
      <c r="B230" s="71" t="s">
        <v>296</v>
      </c>
      <c r="C230" s="62">
        <v>2012</v>
      </c>
      <c r="D230" s="1">
        <f t="shared" si="66"/>
        <v>5.333333333333333</v>
      </c>
      <c r="E230" s="108"/>
      <c r="F230" s="108"/>
      <c r="H230" s="101"/>
      <c r="N230" s="267">
        <f t="shared" si="70"/>
        <v>5.333333333333333</v>
      </c>
      <c r="P230" s="96">
        <f t="shared" si="67"/>
        <v>5.333333333333333</v>
      </c>
      <c r="Q230" s="97">
        <f t="shared" si="71"/>
        <v>5.333333333333333</v>
      </c>
      <c r="S230" s="201"/>
      <c r="T230" s="192"/>
      <c r="U230" s="183"/>
      <c r="V230" s="168"/>
      <c r="W230" s="50"/>
      <c r="X230" s="50">
        <f>16</f>
        <v>16</v>
      </c>
      <c r="Y230" s="215">
        <f t="shared" si="69"/>
        <v>0</v>
      </c>
      <c r="Z230" s="152"/>
      <c r="AA230" s="96">
        <f>S230+T230+U230+V230+W230+X230+Y230</f>
        <v>16</v>
      </c>
      <c r="AB230" s="97">
        <f>IF(C230=2012, AA230/3,AA230)+Z230</f>
        <v>5.333333333333333</v>
      </c>
      <c r="AC230" s="290"/>
      <c r="AD230" s="290"/>
      <c r="AE230" s="50"/>
      <c r="AF230" s="50"/>
      <c r="AG230" s="50"/>
      <c r="AH230" s="50"/>
      <c r="AI230" s="120"/>
      <c r="AJ230" s="96">
        <f>SUM(AD230:AH230)</f>
        <v>0</v>
      </c>
      <c r="AK230" s="97">
        <f>IF(C230=2011, AJ230/3,AJ230)+AI230</f>
        <v>0</v>
      </c>
      <c r="AL230" s="22"/>
      <c r="AM230" s="151"/>
      <c r="AN230" s="151"/>
      <c r="AO230" s="151"/>
      <c r="AP230" s="151"/>
      <c r="AQ230" s="151"/>
      <c r="AR230" s="151"/>
      <c r="AT230" s="95"/>
      <c r="AU230" s="96"/>
      <c r="AV230" s="97"/>
    </row>
    <row r="231" spans="1:48" ht="15.75" customHeight="1" x14ac:dyDescent="0.25">
      <c r="A231" s="11" t="s">
        <v>42</v>
      </c>
      <c r="B231" s="11" t="s">
        <v>40</v>
      </c>
      <c r="C231" s="3">
        <v>2010</v>
      </c>
      <c r="D231" s="1">
        <f t="shared" si="66"/>
        <v>1.3333333333333333</v>
      </c>
      <c r="E231" s="154"/>
      <c r="F231" s="154"/>
      <c r="H231" s="280"/>
      <c r="J231" s="256"/>
      <c r="K231" s="256"/>
      <c r="L231" s="256"/>
      <c r="M231" s="256"/>
      <c r="N231" s="267">
        <f t="shared" si="70"/>
        <v>1.3333333333333333</v>
      </c>
      <c r="P231" s="96">
        <f t="shared" si="67"/>
        <v>1.3333333333333333</v>
      </c>
      <c r="Q231" s="97">
        <f t="shared" si="71"/>
        <v>1.3333333333333333</v>
      </c>
      <c r="R231" s="256"/>
      <c r="S231" s="201"/>
      <c r="T231" s="192"/>
      <c r="U231" s="183"/>
      <c r="V231" s="168"/>
      <c r="W231" s="50"/>
      <c r="X231" s="50"/>
      <c r="Y231" s="215">
        <f t="shared" si="69"/>
        <v>1.3333333333333333</v>
      </c>
      <c r="Z231" s="120"/>
      <c r="AA231" s="96">
        <f>S231+T231+U231+V231+W231+X231+Y231</f>
        <v>1.3333333333333333</v>
      </c>
      <c r="AB231" s="97">
        <f>IF(C231=2012, AA231/3,AA231)+Z231</f>
        <v>1.3333333333333333</v>
      </c>
      <c r="AC231" s="22"/>
      <c r="AD231" s="287"/>
      <c r="AE231" s="50"/>
      <c r="AF231" s="50"/>
      <c r="AG231" s="50"/>
      <c r="AH231" s="50">
        <f>AV231</f>
        <v>1.3333333333333333</v>
      </c>
      <c r="AI231" s="120"/>
      <c r="AJ231" s="96">
        <f>SUM(AD231:AH231)</f>
        <v>1.3333333333333333</v>
      </c>
      <c r="AK231" s="97">
        <f>IF(C231=2011, AJ231/3,AJ231)+AI231</f>
        <v>1.3333333333333333</v>
      </c>
      <c r="AL231" s="22"/>
      <c r="AM231" s="267">
        <v>4</v>
      </c>
      <c r="AN231" s="267"/>
      <c r="AO231" s="267"/>
      <c r="AP231" s="267"/>
      <c r="AQ231" s="267"/>
      <c r="AR231" s="267"/>
      <c r="AS231" s="265"/>
      <c r="AT231" s="95"/>
      <c r="AU231" s="96">
        <f>SUM(AM231:AS231)</f>
        <v>4</v>
      </c>
      <c r="AV231" s="97">
        <f>IF(C231=2010, AU231/3,AU231)+AT231</f>
        <v>1.3333333333333333</v>
      </c>
    </row>
    <row r="232" spans="1:48" x14ac:dyDescent="0.25">
      <c r="A232" s="11" t="s">
        <v>101</v>
      </c>
      <c r="B232" s="60" t="s">
        <v>64</v>
      </c>
      <c r="C232" s="62">
        <v>2010</v>
      </c>
      <c r="D232" s="1">
        <f t="shared" si="66"/>
        <v>0</v>
      </c>
      <c r="H232" s="290"/>
      <c r="N232" s="267">
        <f t="shared" si="70"/>
        <v>0</v>
      </c>
      <c r="P232" s="96">
        <f t="shared" si="67"/>
        <v>0</v>
      </c>
      <c r="Q232" s="97">
        <f t="shared" si="71"/>
        <v>0</v>
      </c>
      <c r="S232" s="201"/>
      <c r="T232" s="192"/>
      <c r="U232" s="183"/>
      <c r="V232" s="168"/>
      <c r="W232" s="50"/>
      <c r="X232" s="50"/>
      <c r="Y232" s="215">
        <f t="shared" si="69"/>
        <v>0</v>
      </c>
      <c r="Z232" s="120"/>
      <c r="AA232" s="96">
        <f>S232+T232+U232+V232+W232+X232+Y232</f>
        <v>0</v>
      </c>
      <c r="AB232" s="97">
        <f>IF(C232=2012, AA232/3,AA232)+Z232</f>
        <v>0</v>
      </c>
      <c r="AC232" s="22"/>
      <c r="AD232" s="256"/>
      <c r="AE232" s="50"/>
      <c r="AF232" s="50"/>
      <c r="AG232" s="50"/>
      <c r="AH232" s="50">
        <f>AV232</f>
        <v>0</v>
      </c>
      <c r="AI232" s="120"/>
      <c r="AJ232" s="96">
        <f>SUM(AD232:AH232)</f>
        <v>0</v>
      </c>
      <c r="AK232" s="97">
        <f>IF(C232=2011, AJ232/3,AJ232)+AI232</f>
        <v>0</v>
      </c>
      <c r="AL232" s="22"/>
      <c r="AM232" s="252"/>
      <c r="AN232" s="252">
        <v>0</v>
      </c>
      <c r="AO232" s="252"/>
      <c r="AP232" s="252"/>
      <c r="AQ232" s="252"/>
      <c r="AR232" s="252"/>
      <c r="AS232" s="251"/>
      <c r="AT232" s="95"/>
      <c r="AU232" s="96">
        <f>SUM(AM232:AS232)</f>
        <v>0</v>
      </c>
      <c r="AV232" s="97">
        <f>IF(C232=2010, AU232/3,AU232)+AT232</f>
        <v>0</v>
      </c>
    </row>
    <row r="233" spans="1:48" x14ac:dyDescent="0.25">
      <c r="A233" s="12" t="s">
        <v>1259</v>
      </c>
      <c r="B233" s="12" t="s">
        <v>296</v>
      </c>
      <c r="C233" s="4">
        <v>2010</v>
      </c>
      <c r="D233" s="1">
        <f t="shared" si="66"/>
        <v>0</v>
      </c>
      <c r="K233" s="241">
        <f>0</f>
        <v>0</v>
      </c>
      <c r="N233" s="267">
        <f t="shared" si="70"/>
        <v>0</v>
      </c>
      <c r="P233" s="96">
        <f t="shared" si="67"/>
        <v>0</v>
      </c>
      <c r="Q233" s="97">
        <f t="shared" si="71"/>
        <v>0</v>
      </c>
      <c r="V233" s="154">
        <v>0</v>
      </c>
    </row>
    <row r="234" spans="1:48" x14ac:dyDescent="0.25">
      <c r="A234" s="60" t="s">
        <v>453</v>
      </c>
      <c r="B234" s="85" t="s">
        <v>7</v>
      </c>
      <c r="C234" s="62">
        <v>2010</v>
      </c>
      <c r="D234" s="1">
        <f t="shared" si="66"/>
        <v>3</v>
      </c>
      <c r="N234" s="267">
        <f t="shared" si="70"/>
        <v>3</v>
      </c>
      <c r="P234" s="96">
        <f t="shared" si="67"/>
        <v>3</v>
      </c>
      <c r="Q234" s="97">
        <f t="shared" si="71"/>
        <v>3</v>
      </c>
      <c r="S234" s="201"/>
      <c r="T234" s="192"/>
      <c r="U234" s="183"/>
      <c r="V234" s="168"/>
      <c r="W234" s="50"/>
      <c r="X234" s="50"/>
      <c r="Y234" s="215">
        <f>AK234</f>
        <v>3</v>
      </c>
      <c r="Z234" s="120"/>
      <c r="AA234" s="96">
        <f>S234+T234+U234+V234+W234+X234+Y234</f>
        <v>3</v>
      </c>
      <c r="AB234" s="97">
        <f>IF(C234=2012, AA234/3,AA234)+Z234</f>
        <v>3</v>
      </c>
      <c r="AC234" s="22"/>
      <c r="AD234" s="215"/>
      <c r="AE234" s="50">
        <f>0</f>
        <v>0</v>
      </c>
      <c r="AF234" s="50"/>
      <c r="AG234" s="50">
        <f>0+3</f>
        <v>3</v>
      </c>
      <c r="AH234" s="50"/>
      <c r="AI234" s="120"/>
      <c r="AJ234" s="96">
        <f>SUM(AD234:AH234)</f>
        <v>3</v>
      </c>
      <c r="AK234" s="97">
        <f>IF(C234=2011, AJ234/3,AJ234)+AI234</f>
        <v>3</v>
      </c>
      <c r="AL234" s="22"/>
      <c r="AT234" s="95"/>
      <c r="AU234" s="96"/>
      <c r="AV234" s="97"/>
    </row>
    <row r="235" spans="1:48" x14ac:dyDescent="0.25">
      <c r="A235" s="11" t="s">
        <v>456</v>
      </c>
      <c r="B235" s="60" t="s">
        <v>7</v>
      </c>
      <c r="C235" s="62">
        <v>2012</v>
      </c>
      <c r="D235" s="1">
        <f t="shared" si="66"/>
        <v>26.666666666666668</v>
      </c>
      <c r="I235" s="154"/>
      <c r="J235" s="154"/>
      <c r="K235" s="154"/>
      <c r="L235" s="154"/>
      <c r="M235" s="154"/>
      <c r="N235" s="267">
        <f t="shared" si="70"/>
        <v>26.666666666666668</v>
      </c>
      <c r="P235" s="96">
        <f t="shared" si="67"/>
        <v>26.666666666666668</v>
      </c>
      <c r="Q235" s="97">
        <f t="shared" si="71"/>
        <v>26.666666666666668</v>
      </c>
      <c r="R235" s="154"/>
      <c r="S235" s="201"/>
      <c r="T235" s="192"/>
      <c r="U235" s="183"/>
      <c r="V235" s="168"/>
      <c r="W235" s="50"/>
      <c r="X235" s="50"/>
      <c r="Y235" s="215">
        <f>AK235</f>
        <v>80</v>
      </c>
      <c r="Z235" s="120"/>
      <c r="AA235" s="96">
        <f>S235+T235+U235+V235+W235+X235+Y235</f>
        <v>80</v>
      </c>
      <c r="AB235" s="97">
        <f>IF(C235=2012, AA235/3,AA235)+Z235</f>
        <v>26.666666666666668</v>
      </c>
      <c r="AC235" s="269"/>
      <c r="AD235" s="269"/>
      <c r="AE235" s="50">
        <f>24</f>
        <v>24</v>
      </c>
      <c r="AF235" s="50">
        <f>32</f>
        <v>32</v>
      </c>
      <c r="AG235" s="50">
        <f>0+3+1</f>
        <v>4</v>
      </c>
      <c r="AH235" s="50">
        <f>AV235</f>
        <v>20</v>
      </c>
      <c r="AI235" s="120"/>
      <c r="AJ235" s="96">
        <f>SUM(AD235:AH235)</f>
        <v>80</v>
      </c>
      <c r="AK235" s="97">
        <f>IF(C235=2011, AJ235/3,AJ235)+AI235</f>
        <v>80</v>
      </c>
      <c r="AL235" s="22"/>
      <c r="AM235" s="287"/>
      <c r="AN235" s="287"/>
      <c r="AO235" s="287"/>
      <c r="AP235" s="287"/>
      <c r="AQ235" s="287">
        <f>0</f>
        <v>0</v>
      </c>
      <c r="AR235" s="287">
        <f>18+2</f>
        <v>20</v>
      </c>
      <c r="AS235" s="285"/>
      <c r="AT235" s="95"/>
      <c r="AU235" s="96">
        <f>SUM(AM235:AS235)</f>
        <v>20</v>
      </c>
      <c r="AV235" s="97">
        <f>IF(C235=2015, AU235/3,AU235)+AT235</f>
        <v>20</v>
      </c>
    </row>
    <row r="236" spans="1:48" x14ac:dyDescent="0.25">
      <c r="A236" s="11" t="s">
        <v>302</v>
      </c>
      <c r="B236" s="71" t="s">
        <v>231</v>
      </c>
      <c r="C236" s="62">
        <v>2012</v>
      </c>
      <c r="D236" s="1">
        <f t="shared" si="66"/>
        <v>106</v>
      </c>
      <c r="H236" s="290"/>
      <c r="L236" s="228">
        <f>12</f>
        <v>12</v>
      </c>
      <c r="N236" s="267">
        <f t="shared" si="70"/>
        <v>94</v>
      </c>
      <c r="P236" s="96">
        <f t="shared" si="67"/>
        <v>106</v>
      </c>
      <c r="Q236" s="97">
        <f t="shared" si="71"/>
        <v>106</v>
      </c>
      <c r="S236" s="201"/>
      <c r="T236" s="192"/>
      <c r="U236" s="183"/>
      <c r="V236" s="168"/>
      <c r="W236" s="50"/>
      <c r="X236" s="50"/>
      <c r="Y236" s="215">
        <f>AK236</f>
        <v>282</v>
      </c>
      <c r="Z236" s="120"/>
      <c r="AA236" s="96">
        <f>S236+T236+U236+V236+W236+X236+Y236</f>
        <v>282</v>
      </c>
      <c r="AB236" s="97">
        <f>IF(C236=2012, AA236/3,AA236)+Z236</f>
        <v>94</v>
      </c>
      <c r="AC236" s="290"/>
      <c r="AD236" s="290"/>
      <c r="AE236" s="50">
        <f>54</f>
        <v>54</v>
      </c>
      <c r="AF236" s="50">
        <f>76</f>
        <v>76</v>
      </c>
      <c r="AG236" s="50">
        <f>52</f>
        <v>52</v>
      </c>
      <c r="AH236" s="50">
        <f>AV236</f>
        <v>100</v>
      </c>
      <c r="AI236" s="120"/>
      <c r="AJ236" s="96">
        <f>SUM(AD236:AH236)</f>
        <v>282</v>
      </c>
      <c r="AK236" s="97">
        <f>IF(C236=2011, AJ236/3,AJ236)+AI236</f>
        <v>282</v>
      </c>
      <c r="AL236" s="22"/>
      <c r="AM236" s="287"/>
      <c r="AN236" s="287"/>
      <c r="AO236" s="287"/>
      <c r="AP236" s="287">
        <f>49</f>
        <v>49</v>
      </c>
      <c r="AQ236" s="287"/>
      <c r="AR236" s="287">
        <f>51</f>
        <v>51</v>
      </c>
      <c r="AS236" s="285"/>
      <c r="AT236" s="95"/>
      <c r="AU236" s="96">
        <f>SUM(AM236:AS236)</f>
        <v>100</v>
      </c>
      <c r="AV236" s="97">
        <f>IF(C236=2015, AU236/3,AU236)+AT236</f>
        <v>100</v>
      </c>
    </row>
    <row r="237" spans="1:48" x14ac:dyDescent="0.25">
      <c r="A237" s="11" t="s">
        <v>411</v>
      </c>
      <c r="B237" s="71" t="s">
        <v>272</v>
      </c>
      <c r="C237" s="62">
        <v>2013</v>
      </c>
      <c r="D237" s="1">
        <f t="shared" si="66"/>
        <v>3.3333333333333335</v>
      </c>
      <c r="E237" s="154"/>
      <c r="F237" s="154"/>
      <c r="H237" s="290"/>
      <c r="N237" s="267">
        <f t="shared" si="70"/>
        <v>10</v>
      </c>
      <c r="P237" s="96">
        <f t="shared" si="67"/>
        <v>10</v>
      </c>
      <c r="Q237" s="97">
        <f t="shared" si="71"/>
        <v>3.3333333333333335</v>
      </c>
      <c r="S237" s="201"/>
      <c r="T237" s="192"/>
      <c r="U237" s="183"/>
      <c r="V237" s="168"/>
      <c r="W237" s="50"/>
      <c r="X237" s="50"/>
      <c r="Y237" s="215">
        <f>AK237</f>
        <v>10</v>
      </c>
      <c r="Z237" s="120"/>
      <c r="AA237" s="96">
        <f>AM237+S237+T237+U237+V237+W237+X237+Y237</f>
        <v>10</v>
      </c>
      <c r="AB237" s="97">
        <f>IF(C237=2017, AA237/3,AA237)+Z237</f>
        <v>10</v>
      </c>
      <c r="AC237" s="269"/>
      <c r="AD237" s="269"/>
      <c r="AE237" s="50"/>
      <c r="AF237" s="50"/>
      <c r="AG237" s="50"/>
      <c r="AH237" s="50">
        <f>AV237</f>
        <v>10</v>
      </c>
      <c r="AI237" s="120"/>
      <c r="AJ237" s="96">
        <f>SUM(AE237:AH237)</f>
        <v>10</v>
      </c>
      <c r="AK237" s="97">
        <f>IF(C237=2016, AJ237/3,AJ237)+AI237</f>
        <v>10</v>
      </c>
      <c r="AL237" s="22"/>
      <c r="AM237" s="287"/>
      <c r="AN237" s="287"/>
      <c r="AO237" s="287"/>
      <c r="AP237" s="287"/>
      <c r="AQ237" s="287">
        <f>10</f>
        <v>10</v>
      </c>
      <c r="AR237" s="287">
        <f>0</f>
        <v>0</v>
      </c>
      <c r="AS237" s="285"/>
      <c r="AT237" s="95"/>
      <c r="AU237" s="96">
        <f>SUM(AM237:AS237)</f>
        <v>10</v>
      </c>
      <c r="AV237" s="97">
        <f>IF(C237=2015, AU237/3,AU237)+AT237</f>
        <v>10</v>
      </c>
    </row>
    <row r="238" spans="1:48" x14ac:dyDescent="0.25">
      <c r="A238" s="11" t="s">
        <v>894</v>
      </c>
      <c r="B238" s="71" t="s">
        <v>404</v>
      </c>
      <c r="C238" s="62">
        <v>2013</v>
      </c>
      <c r="D238" s="1">
        <f t="shared" si="66"/>
        <v>0</v>
      </c>
      <c r="H238" s="290"/>
      <c r="I238" s="287"/>
      <c r="J238" s="287">
        <f>0</f>
        <v>0</v>
      </c>
      <c r="K238" s="287"/>
      <c r="L238" s="287"/>
      <c r="M238" s="287"/>
      <c r="N238" s="267">
        <f t="shared" si="70"/>
        <v>0</v>
      </c>
      <c r="P238" s="96">
        <f t="shared" si="67"/>
        <v>0</v>
      </c>
      <c r="Q238" s="97">
        <f t="shared" si="71"/>
        <v>0</v>
      </c>
      <c r="R238" s="287"/>
      <c r="S238" s="201">
        <f>0</f>
        <v>0</v>
      </c>
      <c r="T238" s="192"/>
      <c r="U238" s="183"/>
      <c r="V238" s="168">
        <f>0</f>
        <v>0</v>
      </c>
      <c r="W238" s="50"/>
      <c r="X238" s="50"/>
      <c r="Y238" s="215">
        <f>AK238</f>
        <v>0</v>
      </c>
      <c r="Z238" s="152"/>
      <c r="AA238" s="96">
        <f>AM238+S238+T238+U238+V238+W238+X238+Y238</f>
        <v>0</v>
      </c>
      <c r="AB238" s="97">
        <f>IF(C238=2017, AA238/3,AA238)+Z238</f>
        <v>0</v>
      </c>
      <c r="AE238" s="50"/>
      <c r="AF238" s="50"/>
      <c r="AG238" s="50"/>
      <c r="AH238" s="50"/>
      <c r="AI238" s="120"/>
      <c r="AJ238" s="96">
        <f>SUM(AE238:AH238)</f>
        <v>0</v>
      </c>
      <c r="AK238" s="97">
        <f>IF(C238=2016, AJ238/3,AJ238)+AI238</f>
        <v>0</v>
      </c>
      <c r="AL238" s="22"/>
      <c r="AM238" s="256"/>
      <c r="AN238" s="256"/>
      <c r="AO238" s="256"/>
      <c r="AP238" s="256"/>
      <c r="AQ238" s="256"/>
      <c r="AR238" s="256"/>
      <c r="AS238" s="254"/>
      <c r="AT238" s="95"/>
      <c r="AU238" s="96"/>
      <c r="AV238" s="97"/>
    </row>
    <row r="239" spans="1:48" x14ac:dyDescent="0.25">
      <c r="A239" s="11" t="s">
        <v>1090</v>
      </c>
      <c r="B239" s="71" t="s">
        <v>1088</v>
      </c>
      <c r="C239" s="62">
        <v>2013</v>
      </c>
      <c r="D239" s="1">
        <f t="shared" si="66"/>
        <v>5</v>
      </c>
      <c r="J239" s="252"/>
      <c r="K239" s="252"/>
      <c r="L239" s="252">
        <f>0+15</f>
        <v>15</v>
      </c>
      <c r="M239" s="252"/>
      <c r="N239" s="267">
        <f t="shared" si="70"/>
        <v>0</v>
      </c>
      <c r="P239" s="96">
        <f t="shared" si="67"/>
        <v>15</v>
      </c>
      <c r="Q239" s="97">
        <f t="shared" si="71"/>
        <v>5</v>
      </c>
      <c r="R239" s="252"/>
      <c r="S239" s="201"/>
      <c r="T239" s="192"/>
      <c r="U239" s="183"/>
      <c r="V239" s="168"/>
      <c r="W239" s="50"/>
      <c r="X239" s="50"/>
      <c r="Y239" s="215"/>
      <c r="Z239" s="152"/>
      <c r="AA239" s="96"/>
      <c r="AB239" s="97"/>
      <c r="AE239" s="50"/>
      <c r="AF239" s="50"/>
      <c r="AG239" s="50"/>
      <c r="AH239" s="50"/>
      <c r="AI239" s="120"/>
      <c r="AJ239" s="96"/>
      <c r="AK239" s="97"/>
      <c r="AL239" s="22"/>
      <c r="AM239" s="287"/>
      <c r="AN239" s="287"/>
      <c r="AO239" s="287"/>
      <c r="AP239" s="287"/>
      <c r="AQ239" s="287"/>
      <c r="AR239" s="287"/>
      <c r="AS239" s="285"/>
      <c r="AT239" s="95"/>
      <c r="AU239" s="96"/>
      <c r="AV239" s="97"/>
    </row>
    <row r="240" spans="1:48" x14ac:dyDescent="0.25">
      <c r="A240" s="11" t="s">
        <v>1172</v>
      </c>
      <c r="B240" s="87" t="s">
        <v>87</v>
      </c>
      <c r="C240" s="3">
        <v>2011</v>
      </c>
      <c r="D240" s="1">
        <f t="shared" si="66"/>
        <v>18</v>
      </c>
      <c r="J240" s="256"/>
      <c r="K240" s="256"/>
      <c r="L240" s="256">
        <v>18</v>
      </c>
      <c r="M240" s="256"/>
      <c r="N240" s="267">
        <f t="shared" si="70"/>
        <v>0</v>
      </c>
      <c r="P240" s="96">
        <f t="shared" si="67"/>
        <v>18</v>
      </c>
      <c r="Q240" s="97">
        <f t="shared" si="71"/>
        <v>18</v>
      </c>
      <c r="R240" s="256"/>
    </row>
    <row r="241" spans="1:48" x14ac:dyDescent="0.25">
      <c r="A241" s="60" t="s">
        <v>594</v>
      </c>
      <c r="B241" s="85" t="s">
        <v>583</v>
      </c>
      <c r="C241" s="62">
        <v>2010</v>
      </c>
      <c r="D241" s="1">
        <f t="shared" si="66"/>
        <v>6</v>
      </c>
      <c r="N241" s="267">
        <f t="shared" si="70"/>
        <v>6</v>
      </c>
      <c r="P241" s="96">
        <f t="shared" si="67"/>
        <v>6</v>
      </c>
      <c r="Q241" s="97">
        <f t="shared" si="71"/>
        <v>6</v>
      </c>
      <c r="S241" s="201"/>
      <c r="T241" s="192"/>
      <c r="U241" s="183"/>
      <c r="V241" s="168"/>
      <c r="W241" s="50"/>
      <c r="X241" s="50">
        <f>3</f>
        <v>3</v>
      </c>
      <c r="Y241" s="215">
        <f>AK241</f>
        <v>3</v>
      </c>
      <c r="Z241" s="120"/>
      <c r="AA241" s="96">
        <f>S241+T241+U241+V241+W241+X241+Y241</f>
        <v>6</v>
      </c>
      <c r="AB241" s="97">
        <f>IF(C241=2012, AA241/3,AA241)+Z241</f>
        <v>6</v>
      </c>
      <c r="AC241" s="22"/>
      <c r="AD241" s="287"/>
      <c r="AE241" s="50"/>
      <c r="AF241" s="50"/>
      <c r="AG241" s="50">
        <f>3</f>
        <v>3</v>
      </c>
      <c r="AH241" s="50"/>
      <c r="AI241" s="120"/>
      <c r="AJ241" s="96">
        <f>SUM(AD241:AH241)</f>
        <v>3</v>
      </c>
      <c r="AK241" s="97">
        <f>IF(C241=2011, AJ241/3,AJ241)+AI241</f>
        <v>3</v>
      </c>
      <c r="AL241" s="22"/>
      <c r="AT241" s="95"/>
      <c r="AU241" s="96"/>
      <c r="AV241" s="97"/>
    </row>
    <row r="242" spans="1:48" x14ac:dyDescent="0.25">
      <c r="A242" s="11" t="s">
        <v>403</v>
      </c>
      <c r="B242" s="71" t="s">
        <v>404</v>
      </c>
      <c r="C242" s="62">
        <v>2012</v>
      </c>
      <c r="D242" s="1">
        <f t="shared" si="66"/>
        <v>96.666666666666657</v>
      </c>
      <c r="E242" s="283">
        <f>0+15</f>
        <v>15</v>
      </c>
      <c r="H242" s="290"/>
      <c r="J242" s="246">
        <f>0+8</f>
        <v>8</v>
      </c>
      <c r="K242" s="241">
        <f>18</f>
        <v>18</v>
      </c>
      <c r="L242" s="231"/>
      <c r="M242" s="231"/>
      <c r="N242" s="267">
        <f t="shared" si="70"/>
        <v>55.666666666666664</v>
      </c>
      <c r="P242" s="96">
        <f t="shared" si="67"/>
        <v>81.666666666666657</v>
      </c>
      <c r="Q242" s="97">
        <f t="shared" si="71"/>
        <v>81.666666666666657</v>
      </c>
      <c r="R242" s="231"/>
      <c r="S242" s="201">
        <f>20+10</f>
        <v>30</v>
      </c>
      <c r="T242" s="192">
        <f>44+16</f>
        <v>60</v>
      </c>
      <c r="U242" s="183"/>
      <c r="V242" s="168">
        <f>34+4</f>
        <v>38</v>
      </c>
      <c r="W242" s="50">
        <f>22+7</f>
        <v>29</v>
      </c>
      <c r="X242" s="50"/>
      <c r="Y242" s="215">
        <f>AK242</f>
        <v>10</v>
      </c>
      <c r="Z242" s="120"/>
      <c r="AA242" s="96">
        <f>S242+T242+U242+V242+W242+X242+Y242</f>
        <v>167</v>
      </c>
      <c r="AB242" s="97">
        <f>IF(C242=2012, AA242/3,AA242)+Z242</f>
        <v>55.666666666666664</v>
      </c>
      <c r="AC242" s="269"/>
      <c r="AD242" s="269"/>
      <c r="AE242" s="50"/>
      <c r="AF242" s="50"/>
      <c r="AG242" s="50"/>
      <c r="AH242" s="50">
        <f>AV242</f>
        <v>10</v>
      </c>
      <c r="AI242" s="120"/>
      <c r="AJ242" s="96">
        <f>SUM(AD242:AH242)</f>
        <v>10</v>
      </c>
      <c r="AK242" s="97">
        <f>IF(C242=2011, AJ242/3,AJ242)+AI242</f>
        <v>10</v>
      </c>
      <c r="AL242" s="22"/>
      <c r="AM242" s="256"/>
      <c r="AN242" s="256"/>
      <c r="AO242" s="256"/>
      <c r="AP242" s="256"/>
      <c r="AQ242" s="256">
        <f>10</f>
        <v>10</v>
      </c>
      <c r="AR242" s="256"/>
      <c r="AS242" s="254"/>
      <c r="AT242" s="95"/>
      <c r="AU242" s="96">
        <f>SUM(AM242:AS242)</f>
        <v>10</v>
      </c>
      <c r="AV242" s="97">
        <f>IF(C242=2015, AU242/3,AU242)+AT242</f>
        <v>10</v>
      </c>
    </row>
    <row r="243" spans="1:48" x14ac:dyDescent="0.25">
      <c r="A243" s="11" t="s">
        <v>307</v>
      </c>
      <c r="B243" s="71" t="s">
        <v>86</v>
      </c>
      <c r="C243" s="62">
        <v>2010</v>
      </c>
      <c r="D243" s="1">
        <f t="shared" si="66"/>
        <v>6</v>
      </c>
      <c r="H243" s="290"/>
      <c r="I243" s="287"/>
      <c r="J243" s="287"/>
      <c r="K243" s="287"/>
      <c r="L243" s="287"/>
      <c r="M243" s="287"/>
      <c r="N243" s="267">
        <f t="shared" si="70"/>
        <v>6</v>
      </c>
      <c r="P243" s="96">
        <f t="shared" si="67"/>
        <v>6</v>
      </c>
      <c r="Q243" s="97">
        <f t="shared" si="71"/>
        <v>6</v>
      </c>
      <c r="R243" s="287"/>
      <c r="S243" s="201"/>
      <c r="T243" s="192"/>
      <c r="U243" s="183"/>
      <c r="V243" s="168"/>
      <c r="W243" s="50"/>
      <c r="X243" s="50"/>
      <c r="Y243" s="215">
        <f>AK243</f>
        <v>6</v>
      </c>
      <c r="Z243" s="120"/>
      <c r="AA243" s="96">
        <f>S243+T243+U243+V243+W243+X243+Y243</f>
        <v>6</v>
      </c>
      <c r="AB243" s="97">
        <f>IF(C243=2012, AA243/3,AA243)+Z243</f>
        <v>6</v>
      </c>
      <c r="AC243" s="22"/>
      <c r="AD243" s="50"/>
      <c r="AE243" s="50"/>
      <c r="AF243" s="50"/>
      <c r="AG243" s="50"/>
      <c r="AH243" s="50">
        <f>AV243</f>
        <v>6</v>
      </c>
      <c r="AI243" s="120"/>
      <c r="AJ243" s="96">
        <f>SUM(AD243:AH243)</f>
        <v>6</v>
      </c>
      <c r="AK243" s="97">
        <f>IF(C243=2011, AJ243/3,AJ243)+AI243</f>
        <v>6</v>
      </c>
      <c r="AL243" s="22"/>
      <c r="AM243" s="256"/>
      <c r="AN243" s="256"/>
      <c r="AO243" s="256"/>
      <c r="AP243" s="256">
        <f>18</f>
        <v>18</v>
      </c>
      <c r="AQ243" s="256"/>
      <c r="AR243" s="256"/>
      <c r="AS243" s="254"/>
      <c r="AT243" s="95"/>
      <c r="AU243" s="96">
        <f>SUM(AM243:AS243)</f>
        <v>18</v>
      </c>
      <c r="AV243" s="97">
        <f>IF(C243=2010, AU243/3,AU243)+AT243</f>
        <v>6</v>
      </c>
    </row>
    <row r="244" spans="1:48" x14ac:dyDescent="0.25">
      <c r="A244" s="11" t="s">
        <v>673</v>
      </c>
      <c r="B244" s="71" t="s">
        <v>658</v>
      </c>
      <c r="C244" s="62"/>
      <c r="D244" s="1">
        <f t="shared" si="66"/>
        <v>21</v>
      </c>
      <c r="H244" s="290"/>
      <c r="N244" s="267">
        <f t="shared" si="70"/>
        <v>21</v>
      </c>
      <c r="P244" s="96">
        <f t="shared" si="67"/>
        <v>21</v>
      </c>
      <c r="Q244" s="97">
        <f t="shared" si="71"/>
        <v>21</v>
      </c>
      <c r="S244" s="201"/>
      <c r="T244" s="192"/>
      <c r="U244" s="183"/>
      <c r="V244" s="168"/>
      <c r="W244" s="50"/>
      <c r="X244" s="50"/>
      <c r="Y244" s="215">
        <f>AK244</f>
        <v>21</v>
      </c>
      <c r="Z244" s="120"/>
      <c r="AA244" s="96">
        <f>S244+T244+U244+V244+W244+X244+Y244</f>
        <v>21</v>
      </c>
      <c r="AB244" s="97">
        <f>IF(C244=2012, AA244/3,AA244)+Z244</f>
        <v>21</v>
      </c>
      <c r="AC244" s="22"/>
      <c r="AD244" s="287"/>
      <c r="AE244" s="50"/>
      <c r="AF244" s="50">
        <f>21</f>
        <v>21</v>
      </c>
      <c r="AG244" s="50"/>
      <c r="AH244" s="50"/>
      <c r="AI244" s="120"/>
      <c r="AJ244" s="96">
        <f>SUM(AD244:AH244)</f>
        <v>21</v>
      </c>
      <c r="AK244" s="97">
        <f>IF(C244=2011, AJ244/3,AJ244)+AI244</f>
        <v>21</v>
      </c>
      <c r="AL244" s="22"/>
      <c r="AM244" s="267"/>
      <c r="AN244" s="267"/>
      <c r="AO244" s="267"/>
      <c r="AP244" s="267"/>
      <c r="AQ244" s="267"/>
      <c r="AR244" s="267"/>
      <c r="AS244" s="265"/>
      <c r="AT244" s="95"/>
      <c r="AU244" s="96"/>
      <c r="AV244" s="97"/>
    </row>
    <row r="245" spans="1:48" x14ac:dyDescent="0.25">
      <c r="A245" s="11" t="s">
        <v>1258</v>
      </c>
      <c r="B245" s="87" t="s">
        <v>63</v>
      </c>
      <c r="C245" s="3">
        <v>2012</v>
      </c>
      <c r="D245" s="1">
        <f t="shared" si="66"/>
        <v>15</v>
      </c>
      <c r="E245" s="283">
        <f>0</f>
        <v>0</v>
      </c>
      <c r="I245" s="261">
        <f>12</f>
        <v>12</v>
      </c>
      <c r="K245" s="241">
        <f>2+1</f>
        <v>3</v>
      </c>
      <c r="N245" s="267">
        <f t="shared" si="70"/>
        <v>0</v>
      </c>
      <c r="P245" s="96">
        <f t="shared" si="67"/>
        <v>15</v>
      </c>
      <c r="Q245" s="97">
        <f t="shared" si="71"/>
        <v>15</v>
      </c>
    </row>
    <row r="246" spans="1:48" x14ac:dyDescent="0.25">
      <c r="A246" s="60" t="s">
        <v>1150</v>
      </c>
      <c r="B246" s="65" t="s">
        <v>86</v>
      </c>
      <c r="C246" s="62">
        <v>2011</v>
      </c>
      <c r="D246" s="1">
        <f t="shared" si="66"/>
        <v>14</v>
      </c>
      <c r="I246" s="267"/>
      <c r="J246" s="267"/>
      <c r="K246" s="267"/>
      <c r="L246" s="267">
        <f>14</f>
        <v>14</v>
      </c>
      <c r="M246" s="267"/>
      <c r="N246" s="267">
        <f t="shared" si="70"/>
        <v>0</v>
      </c>
      <c r="P246" s="96">
        <f t="shared" si="67"/>
        <v>14</v>
      </c>
      <c r="Q246" s="97">
        <f t="shared" si="71"/>
        <v>14</v>
      </c>
      <c r="R246" s="267"/>
      <c r="S246" s="201"/>
      <c r="T246" s="192"/>
      <c r="U246" s="183"/>
      <c r="V246" s="168"/>
      <c r="W246" s="50"/>
      <c r="X246" s="50"/>
      <c r="Y246" s="215"/>
      <c r="Z246" s="120"/>
      <c r="AA246" s="96"/>
      <c r="AB246" s="97"/>
      <c r="AC246" s="22"/>
      <c r="AD246" s="287"/>
      <c r="AE246" s="50"/>
      <c r="AF246" s="50"/>
      <c r="AG246" s="50"/>
      <c r="AH246" s="50"/>
      <c r="AI246" s="120"/>
      <c r="AJ246" s="96"/>
      <c r="AK246" s="97"/>
      <c r="AL246" s="22"/>
      <c r="AT246" s="95"/>
      <c r="AU246" s="96"/>
      <c r="AV246" s="97"/>
    </row>
    <row r="247" spans="1:48" x14ac:dyDescent="0.25">
      <c r="A247" s="11" t="s">
        <v>141</v>
      </c>
      <c r="B247" s="60" t="s">
        <v>64</v>
      </c>
      <c r="C247" s="62">
        <v>2012</v>
      </c>
      <c r="D247" s="1">
        <f t="shared" si="66"/>
        <v>0</v>
      </c>
      <c r="E247" s="287"/>
      <c r="F247" s="287"/>
      <c r="J247" s="252"/>
      <c r="K247" s="252"/>
      <c r="L247" s="252"/>
      <c r="M247" s="252"/>
      <c r="N247" s="267">
        <f t="shared" si="70"/>
        <v>0</v>
      </c>
      <c r="P247" s="96">
        <f t="shared" si="67"/>
        <v>0</v>
      </c>
      <c r="Q247" s="97">
        <f t="shared" si="71"/>
        <v>0</v>
      </c>
      <c r="R247" s="252"/>
      <c r="S247" s="201"/>
      <c r="T247" s="192"/>
      <c r="U247" s="183"/>
      <c r="V247" s="168"/>
      <c r="W247" s="50"/>
      <c r="X247" s="50"/>
      <c r="Y247" s="215">
        <f t="shared" ref="Y247:Y254" si="72">AK247</f>
        <v>0</v>
      </c>
      <c r="Z247" s="120"/>
      <c r="AA247" s="96">
        <f>S247+T247+U247+V247+W247+X247+Y247</f>
        <v>0</v>
      </c>
      <c r="AB247" s="97">
        <f>IF(C247=2012, AA247/3,AA247)+Z247</f>
        <v>0</v>
      </c>
      <c r="AC247" s="269"/>
      <c r="AD247" s="269"/>
      <c r="AE247" s="267"/>
      <c r="AF247" s="50"/>
      <c r="AG247" s="50"/>
      <c r="AH247" s="50">
        <f>AV247</f>
        <v>0</v>
      </c>
      <c r="AI247" s="120"/>
      <c r="AJ247" s="96">
        <f>SUM(AD247:AH247)</f>
        <v>0</v>
      </c>
      <c r="AK247" s="97">
        <f>IF(C247=2011, AJ247/3,AJ247)+AI247</f>
        <v>0</v>
      </c>
      <c r="AL247" s="22"/>
      <c r="AM247" s="41"/>
      <c r="AN247" s="41">
        <v>0</v>
      </c>
      <c r="AO247" s="41"/>
      <c r="AP247" s="41"/>
      <c r="AQ247" s="41"/>
      <c r="AR247" s="41"/>
      <c r="AT247" s="95"/>
      <c r="AU247" s="96">
        <f>SUM(AM247:AS247)</f>
        <v>0</v>
      </c>
      <c r="AV247" s="97">
        <f>IF(C247=2015, AU247/3,AU247)+AT247</f>
        <v>0</v>
      </c>
    </row>
    <row r="248" spans="1:48" x14ac:dyDescent="0.25">
      <c r="A248" s="11" t="s">
        <v>409</v>
      </c>
      <c r="B248" s="60" t="s">
        <v>272</v>
      </c>
      <c r="C248" s="62">
        <v>2013</v>
      </c>
      <c r="D248" s="1">
        <f t="shared" si="66"/>
        <v>17.333333333333332</v>
      </c>
      <c r="E248" s="108"/>
      <c r="F248" s="108"/>
      <c r="H248" s="101"/>
      <c r="I248" s="287"/>
      <c r="J248" s="287"/>
      <c r="K248" s="287"/>
      <c r="L248" s="287"/>
      <c r="M248" s="287"/>
      <c r="N248" s="267">
        <f t="shared" si="70"/>
        <v>52</v>
      </c>
      <c r="P248" s="96">
        <f t="shared" si="67"/>
        <v>52</v>
      </c>
      <c r="Q248" s="97">
        <f t="shared" si="71"/>
        <v>17.333333333333332</v>
      </c>
      <c r="R248" s="287"/>
      <c r="S248" s="201"/>
      <c r="T248" s="192"/>
      <c r="U248" s="183"/>
      <c r="V248" s="168"/>
      <c r="W248" s="50"/>
      <c r="X248" s="50"/>
      <c r="Y248" s="215">
        <f t="shared" si="72"/>
        <v>52</v>
      </c>
      <c r="Z248" s="120"/>
      <c r="AA248" s="96">
        <f>AM248+S248+T248+U248+V248+W248+X248+Y248</f>
        <v>52</v>
      </c>
      <c r="AB248" s="97">
        <f>IF(C248=2017, AA248/3,AA248)+Z248</f>
        <v>52</v>
      </c>
      <c r="AC248" s="290"/>
      <c r="AD248" s="290"/>
      <c r="AE248" s="50"/>
      <c r="AF248" s="50"/>
      <c r="AG248" s="50"/>
      <c r="AH248" s="50">
        <f>AV248</f>
        <v>52</v>
      </c>
      <c r="AI248" s="120"/>
      <c r="AJ248" s="96">
        <f>SUM(AE248:AH248)</f>
        <v>52</v>
      </c>
      <c r="AK248" s="97">
        <f>IF(C248=2016, AJ248/3,AJ248)+AI248</f>
        <v>52</v>
      </c>
      <c r="AL248" s="22"/>
      <c r="AM248" s="41"/>
      <c r="AN248" s="41"/>
      <c r="AO248" s="41"/>
      <c r="AP248" s="41"/>
      <c r="AQ248" s="41">
        <f>10</f>
        <v>10</v>
      </c>
      <c r="AR248" s="41">
        <f>42</f>
        <v>42</v>
      </c>
      <c r="AT248" s="95"/>
      <c r="AU248" s="96">
        <f>SUM(AM248:AS248)</f>
        <v>52</v>
      </c>
      <c r="AV248" s="97">
        <f>IF(C248=2015, AU248/3,AU248)+AT248</f>
        <v>52</v>
      </c>
    </row>
    <row r="249" spans="1:48" x14ac:dyDescent="0.25">
      <c r="A249" s="11" t="s">
        <v>716</v>
      </c>
      <c r="B249" s="11" t="s">
        <v>36</v>
      </c>
      <c r="C249" s="62">
        <v>2013</v>
      </c>
      <c r="D249" s="1">
        <f t="shared" si="66"/>
        <v>0</v>
      </c>
      <c r="E249" s="154"/>
      <c r="F249" s="154"/>
      <c r="H249" s="290"/>
      <c r="N249" s="267">
        <f t="shared" si="70"/>
        <v>0</v>
      </c>
      <c r="P249" s="96">
        <f t="shared" si="67"/>
        <v>0</v>
      </c>
      <c r="Q249" s="97">
        <f t="shared" si="71"/>
        <v>0</v>
      </c>
      <c r="S249" s="201"/>
      <c r="T249" s="192"/>
      <c r="U249" s="183"/>
      <c r="V249" s="168"/>
      <c r="W249" s="50"/>
      <c r="X249" s="50"/>
      <c r="Y249" s="215">
        <f t="shared" si="72"/>
        <v>0</v>
      </c>
      <c r="Z249" s="152"/>
      <c r="AA249" s="96">
        <f>AM249+S249+T249+U249+V249+W249+X249+Y249</f>
        <v>0</v>
      </c>
      <c r="AB249" s="97">
        <f>IF(C249=2017, AA249/3,AA249)+Z249</f>
        <v>0</v>
      </c>
      <c r="AC249" s="269"/>
      <c r="AD249" s="269"/>
      <c r="AE249" s="50"/>
      <c r="AF249" s="50"/>
      <c r="AG249" s="50"/>
      <c r="AH249" s="50"/>
      <c r="AI249" s="120"/>
      <c r="AJ249" s="96">
        <f>SUM(AE249:AH249)</f>
        <v>0</v>
      </c>
      <c r="AK249" s="97">
        <f>IF(C249=2016, AJ249/3,AJ249)+AI249</f>
        <v>0</v>
      </c>
      <c r="AL249" s="22"/>
      <c r="AM249" s="151"/>
      <c r="AN249" s="151"/>
      <c r="AO249" s="151"/>
      <c r="AP249" s="151"/>
      <c r="AQ249" s="151"/>
      <c r="AR249" s="151"/>
      <c r="AT249" s="95"/>
      <c r="AU249" s="96">
        <f>SUM(AM249:AS249)</f>
        <v>0</v>
      </c>
      <c r="AV249" s="97">
        <f>IF(C249=2015, AU249/3,AU249)+AT249</f>
        <v>0</v>
      </c>
    </row>
    <row r="250" spans="1:48" x14ac:dyDescent="0.25">
      <c r="A250" s="11" t="s">
        <v>133</v>
      </c>
      <c r="B250" s="60" t="s">
        <v>86</v>
      </c>
      <c r="C250" s="62">
        <v>2010</v>
      </c>
      <c r="D250" s="1">
        <f t="shared" si="66"/>
        <v>19.333333333333332</v>
      </c>
      <c r="H250" s="290"/>
      <c r="J250" s="256"/>
      <c r="K250" s="256"/>
      <c r="L250" s="256"/>
      <c r="M250" s="256"/>
      <c r="N250" s="267">
        <f t="shared" si="70"/>
        <v>19.333333333333332</v>
      </c>
      <c r="P250" s="96">
        <f t="shared" si="67"/>
        <v>19.333333333333332</v>
      </c>
      <c r="Q250" s="97">
        <f t="shared" si="71"/>
        <v>19.333333333333332</v>
      </c>
      <c r="R250" s="256"/>
      <c r="S250" s="201"/>
      <c r="T250" s="192"/>
      <c r="U250" s="183"/>
      <c r="V250" s="168"/>
      <c r="W250" s="50"/>
      <c r="X250" s="50"/>
      <c r="Y250" s="215">
        <f t="shared" si="72"/>
        <v>19.333333333333332</v>
      </c>
      <c r="Z250" s="120"/>
      <c r="AA250" s="96">
        <f>S250+T250+U250+V250+W250+X250+Y250</f>
        <v>19.333333333333332</v>
      </c>
      <c r="AB250" s="97">
        <f>IF(C250=2012, AA250/3,AA250)+Z250</f>
        <v>19.333333333333332</v>
      </c>
      <c r="AC250" s="22"/>
      <c r="AD250" s="287"/>
      <c r="AE250" s="50"/>
      <c r="AF250" s="50"/>
      <c r="AG250" s="50"/>
      <c r="AH250" s="50">
        <f>AV250</f>
        <v>19.333333333333332</v>
      </c>
      <c r="AI250" s="120"/>
      <c r="AJ250" s="96">
        <f>SUM(AD250:AH250)</f>
        <v>19.333333333333332</v>
      </c>
      <c r="AK250" s="97">
        <f>IF(C250=2011, AJ250/3,AJ250)+AI250</f>
        <v>19.333333333333332</v>
      </c>
      <c r="AL250" s="22"/>
      <c r="AM250" s="41"/>
      <c r="AN250" s="41">
        <f>8+2</f>
        <v>10</v>
      </c>
      <c r="AO250" s="41"/>
      <c r="AP250" s="41">
        <f>45+3</f>
        <v>48</v>
      </c>
      <c r="AQ250" s="41"/>
      <c r="AR250" s="41"/>
      <c r="AT250" s="95"/>
      <c r="AU250" s="96">
        <f>SUM(AM250:AS250)</f>
        <v>58</v>
      </c>
      <c r="AV250" s="97">
        <f>IF(C250=2010, AU250/3,AU250)+AT250</f>
        <v>19.333333333333332</v>
      </c>
    </row>
    <row r="251" spans="1:48" x14ac:dyDescent="0.25">
      <c r="A251" s="11" t="s">
        <v>1274</v>
      </c>
      <c r="B251" s="71" t="s">
        <v>629</v>
      </c>
      <c r="C251" s="62">
        <v>2011</v>
      </c>
      <c r="D251" s="1">
        <f t="shared" si="66"/>
        <v>84</v>
      </c>
      <c r="J251" s="246">
        <f>44</f>
        <v>44</v>
      </c>
      <c r="N251" s="267">
        <f t="shared" si="70"/>
        <v>40</v>
      </c>
      <c r="P251" s="96">
        <f t="shared" si="67"/>
        <v>84</v>
      </c>
      <c r="Q251" s="97">
        <f t="shared" si="71"/>
        <v>84</v>
      </c>
      <c r="S251" s="201"/>
      <c r="T251" s="192"/>
      <c r="U251" s="183"/>
      <c r="V251" s="168"/>
      <c r="W251" s="50">
        <f>6+5</f>
        <v>11</v>
      </c>
      <c r="X251" s="50">
        <f>25+4</f>
        <v>29</v>
      </c>
      <c r="Y251" s="215">
        <f t="shared" si="72"/>
        <v>0</v>
      </c>
      <c r="Z251" s="120"/>
      <c r="AA251" s="96">
        <f>S251+T251+U251+V251+W251+X251+Y251</f>
        <v>40</v>
      </c>
      <c r="AB251" s="97">
        <f>IF(C251=2012, AA251/3,AA251)+Z251</f>
        <v>40</v>
      </c>
      <c r="AC251" s="22"/>
      <c r="AD251" s="50"/>
      <c r="AE251" s="50"/>
      <c r="AF251" s="50"/>
      <c r="AG251" s="50"/>
      <c r="AH251" s="50"/>
      <c r="AI251" s="120"/>
      <c r="AJ251" s="96">
        <f>SUM(AD251:AH251)</f>
        <v>0</v>
      </c>
      <c r="AK251" s="97"/>
      <c r="AL251" s="22"/>
      <c r="AM251" s="267"/>
      <c r="AN251" s="267"/>
      <c r="AO251" s="267"/>
      <c r="AP251" s="267"/>
      <c r="AQ251" s="267"/>
      <c r="AR251" s="267"/>
      <c r="AS251" s="265"/>
      <c r="AT251" s="95"/>
      <c r="AU251" s="96"/>
      <c r="AV251" s="97"/>
    </row>
    <row r="252" spans="1:48" x14ac:dyDescent="0.25">
      <c r="A252" s="11" t="s">
        <v>829</v>
      </c>
      <c r="B252" s="60" t="s">
        <v>476</v>
      </c>
      <c r="C252" s="62">
        <v>2013</v>
      </c>
      <c r="D252" s="1">
        <f t="shared" si="66"/>
        <v>5.333333333333333</v>
      </c>
      <c r="H252" s="290"/>
      <c r="L252" s="231"/>
      <c r="M252" s="231"/>
      <c r="N252" s="267">
        <f t="shared" si="70"/>
        <v>16</v>
      </c>
      <c r="P252" s="96">
        <f t="shared" si="67"/>
        <v>16</v>
      </c>
      <c r="Q252" s="97">
        <f t="shared" si="71"/>
        <v>5.333333333333333</v>
      </c>
      <c r="R252" s="231"/>
      <c r="S252" s="201"/>
      <c r="T252" s="192"/>
      <c r="U252" s="183"/>
      <c r="V252" s="168"/>
      <c r="W252" s="50">
        <f>13+2+1</f>
        <v>16</v>
      </c>
      <c r="X252" s="50"/>
      <c r="Y252" s="215">
        <f t="shared" si="72"/>
        <v>0</v>
      </c>
      <c r="Z252" s="152"/>
      <c r="AA252" s="96">
        <f>AM252+S252+T252+U252+V252+W252+X252+Y252</f>
        <v>16</v>
      </c>
      <c r="AB252" s="97">
        <f>IF(C252=2017, AA252/3,AA252)+Z252</f>
        <v>16</v>
      </c>
      <c r="AE252" s="50"/>
      <c r="AF252" s="50"/>
      <c r="AG252" s="50"/>
      <c r="AH252" s="50"/>
      <c r="AI252" s="120"/>
      <c r="AJ252" s="96">
        <f>SUM(AE252:AH252)</f>
        <v>0</v>
      </c>
      <c r="AK252" s="97">
        <f>IF(C252=2016, AJ252/3,AJ252)+AI252</f>
        <v>0</v>
      </c>
      <c r="AL252" s="22"/>
      <c r="AM252" s="151"/>
      <c r="AN252" s="151"/>
      <c r="AO252" s="151"/>
      <c r="AP252" s="151"/>
      <c r="AQ252" s="151"/>
      <c r="AR252" s="151"/>
      <c r="AT252" s="95"/>
      <c r="AU252" s="96"/>
      <c r="AV252" s="97"/>
    </row>
    <row r="253" spans="1:48" x14ac:dyDescent="0.25">
      <c r="A253" s="11" t="s">
        <v>395</v>
      </c>
      <c r="B253" s="60" t="s">
        <v>111</v>
      </c>
      <c r="C253" s="62">
        <v>2011</v>
      </c>
      <c r="D253" s="1">
        <f t="shared" si="66"/>
        <v>9.6666666666666661</v>
      </c>
      <c r="H253" s="290"/>
      <c r="I253" s="154"/>
      <c r="J253" s="154"/>
      <c r="K253" s="154"/>
      <c r="L253" s="154"/>
      <c r="M253" s="154"/>
      <c r="N253" s="267">
        <f t="shared" si="70"/>
        <v>9.6666666666666661</v>
      </c>
      <c r="P253" s="96">
        <f t="shared" si="67"/>
        <v>9.6666666666666661</v>
      </c>
      <c r="Q253" s="97">
        <f t="shared" si="71"/>
        <v>9.6666666666666661</v>
      </c>
      <c r="R253" s="154"/>
      <c r="S253" s="201"/>
      <c r="T253" s="192"/>
      <c r="U253" s="183"/>
      <c r="V253" s="168"/>
      <c r="W253" s="50"/>
      <c r="X253" s="50"/>
      <c r="Y253" s="215">
        <f t="shared" si="72"/>
        <v>9.6666666666666661</v>
      </c>
      <c r="Z253" s="120"/>
      <c r="AA253" s="96">
        <f>S253+T253+U253+V253+W253+X253+Y253</f>
        <v>9.6666666666666661</v>
      </c>
      <c r="AB253" s="97">
        <f>IF(C253=2012, AA253/3,AA253)+Z253</f>
        <v>9.6666666666666661</v>
      </c>
      <c r="AC253" s="287"/>
      <c r="AD253" s="50"/>
      <c r="AE253" s="50"/>
      <c r="AF253" s="50"/>
      <c r="AG253" s="50"/>
      <c r="AH253" s="50">
        <f>AV253</f>
        <v>29</v>
      </c>
      <c r="AI253" s="120"/>
      <c r="AJ253" s="96">
        <f>SUM(AD253:AH253)</f>
        <v>29</v>
      </c>
      <c r="AK253" s="97">
        <f>IF(C253=2011, AJ253/3,AJ253)+AI253</f>
        <v>9.6666666666666661</v>
      </c>
      <c r="AL253" s="22"/>
      <c r="AM253" s="41"/>
      <c r="AN253" s="41"/>
      <c r="AO253" s="41"/>
      <c r="AP253" s="41"/>
      <c r="AQ253" s="41">
        <f>29</f>
        <v>29</v>
      </c>
      <c r="AR253" s="41"/>
      <c r="AT253" s="95"/>
      <c r="AU253" s="96">
        <f>SUM(AM253:AS253)</f>
        <v>29</v>
      </c>
      <c r="AV253" s="97">
        <f>IF(C253=2015, AU253/3,AU253)+AT253</f>
        <v>29</v>
      </c>
    </row>
    <row r="254" spans="1:48" x14ac:dyDescent="0.25">
      <c r="A254" s="11" t="s">
        <v>969</v>
      </c>
      <c r="B254" s="71" t="s">
        <v>63</v>
      </c>
      <c r="C254" s="62">
        <v>2011</v>
      </c>
      <c r="D254" s="1">
        <f t="shared" si="66"/>
        <v>72</v>
      </c>
      <c r="E254" s="283">
        <f>0</f>
        <v>0</v>
      </c>
      <c r="H254" s="290"/>
      <c r="I254" s="261">
        <f>12</f>
        <v>12</v>
      </c>
      <c r="J254" s="252">
        <f>6</f>
        <v>6</v>
      </c>
      <c r="K254" s="252">
        <f>20+1</f>
        <v>21</v>
      </c>
      <c r="L254" s="252"/>
      <c r="M254" s="252"/>
      <c r="N254" s="267">
        <f t="shared" si="70"/>
        <v>33</v>
      </c>
      <c r="P254" s="96">
        <f t="shared" si="67"/>
        <v>72</v>
      </c>
      <c r="Q254" s="97">
        <f t="shared" si="71"/>
        <v>72</v>
      </c>
      <c r="R254" s="252"/>
      <c r="S254" s="215">
        <f>18+2</f>
        <v>20</v>
      </c>
      <c r="T254" s="215">
        <f>13</f>
        <v>13</v>
      </c>
      <c r="U254" s="215"/>
      <c r="V254" s="215"/>
      <c r="W254" s="215"/>
      <c r="X254" s="215"/>
      <c r="Y254" s="215">
        <f t="shared" si="72"/>
        <v>0</v>
      </c>
      <c r="Z254" s="120"/>
      <c r="AA254" s="96">
        <f>S254+T254+U254+V254+W254+X254+Y254</f>
        <v>33</v>
      </c>
      <c r="AB254" s="97">
        <f>IF(C254=2012, AA254/3,AA254)+Z254</f>
        <v>33</v>
      </c>
      <c r="AC254" s="22"/>
      <c r="AD254" s="267"/>
      <c r="AE254" s="256"/>
      <c r="AF254" s="50"/>
      <c r="AG254" s="50"/>
      <c r="AH254" s="50"/>
      <c r="AI254" s="120"/>
      <c r="AJ254" s="96">
        <f>SUM(AD254:AH254)</f>
        <v>0</v>
      </c>
      <c r="AK254" s="97">
        <f>IF(C254=2011, AJ254/3,AJ254)+AI254</f>
        <v>0</v>
      </c>
      <c r="AL254" s="22"/>
      <c r="AM254" s="287"/>
      <c r="AN254" s="287"/>
      <c r="AO254" s="287"/>
      <c r="AP254" s="287"/>
      <c r="AQ254" s="287"/>
      <c r="AR254" s="287"/>
      <c r="AS254" s="285"/>
      <c r="AT254" s="95"/>
      <c r="AU254" s="96"/>
      <c r="AV254" s="97"/>
    </row>
    <row r="255" spans="1:48" x14ac:dyDescent="0.25">
      <c r="A255" s="11" t="s">
        <v>1181</v>
      </c>
      <c r="B255" s="87" t="s">
        <v>87</v>
      </c>
      <c r="C255" s="3">
        <v>2010</v>
      </c>
      <c r="D255" s="1">
        <f t="shared" si="66"/>
        <v>0</v>
      </c>
      <c r="E255" s="287"/>
      <c r="F255" s="287"/>
      <c r="L255" s="228">
        <v>0</v>
      </c>
      <c r="N255" s="267">
        <f t="shared" si="70"/>
        <v>0</v>
      </c>
      <c r="P255" s="96">
        <f t="shared" si="67"/>
        <v>0</v>
      </c>
      <c r="Q255" s="97">
        <f t="shared" si="71"/>
        <v>0</v>
      </c>
    </row>
    <row r="256" spans="1:48" x14ac:dyDescent="0.25">
      <c r="A256" s="11" t="s">
        <v>1142</v>
      </c>
      <c r="B256" s="87" t="s">
        <v>87</v>
      </c>
      <c r="C256" s="3">
        <v>2011</v>
      </c>
      <c r="D256" s="1">
        <f t="shared" si="66"/>
        <v>45</v>
      </c>
      <c r="J256" s="256"/>
      <c r="K256" s="256"/>
      <c r="L256" s="256">
        <f>18+27</f>
        <v>45</v>
      </c>
      <c r="M256" s="256"/>
      <c r="N256" s="267">
        <f t="shared" si="70"/>
        <v>0</v>
      </c>
      <c r="P256" s="96">
        <f t="shared" si="67"/>
        <v>45</v>
      </c>
      <c r="Q256" s="97">
        <f t="shared" si="71"/>
        <v>45</v>
      </c>
      <c r="R256" s="256"/>
    </row>
    <row r="257" spans="1:48" x14ac:dyDescent="0.25">
      <c r="A257" s="12" t="s">
        <v>1206</v>
      </c>
      <c r="B257" s="12" t="s">
        <v>87</v>
      </c>
      <c r="C257" s="4">
        <v>2011</v>
      </c>
      <c r="D257" s="1">
        <f t="shared" si="66"/>
        <v>0</v>
      </c>
      <c r="I257" s="267"/>
      <c r="J257" s="267"/>
      <c r="K257" s="267"/>
      <c r="L257" s="267">
        <f>0</f>
        <v>0</v>
      </c>
      <c r="M257" s="267"/>
      <c r="N257" s="267">
        <f t="shared" si="70"/>
        <v>0</v>
      </c>
      <c r="P257" s="96">
        <f t="shared" si="67"/>
        <v>0</v>
      </c>
      <c r="Q257" s="97">
        <f t="shared" si="71"/>
        <v>0</v>
      </c>
      <c r="R257" s="267"/>
    </row>
    <row r="258" spans="1:48" x14ac:dyDescent="0.25">
      <c r="A258" s="11" t="s">
        <v>821</v>
      </c>
      <c r="B258" s="60" t="s">
        <v>583</v>
      </c>
      <c r="C258" s="62">
        <v>2012</v>
      </c>
      <c r="D258" s="1">
        <f t="shared" si="66"/>
        <v>1</v>
      </c>
      <c r="H258" s="290"/>
      <c r="N258" s="267">
        <f t="shared" si="70"/>
        <v>1</v>
      </c>
      <c r="P258" s="96">
        <f t="shared" si="67"/>
        <v>1</v>
      </c>
      <c r="Q258" s="97">
        <f t="shared" si="71"/>
        <v>1</v>
      </c>
      <c r="S258" s="231"/>
      <c r="T258" s="231"/>
      <c r="U258" s="231"/>
      <c r="V258" s="231"/>
      <c r="W258" s="231"/>
      <c r="X258" s="231">
        <f>3</f>
        <v>3</v>
      </c>
      <c r="Y258" s="215">
        <f>AK258</f>
        <v>0</v>
      </c>
      <c r="Z258" s="152"/>
      <c r="AA258" s="96">
        <f>S258+T258+U258+V258+W258+X258+Y258</f>
        <v>3</v>
      </c>
      <c r="AB258" s="97">
        <f>IF(C258=2012, AA258/3,AA258)+Z258</f>
        <v>1</v>
      </c>
      <c r="AC258" s="290"/>
      <c r="AD258" s="290"/>
      <c r="AE258" s="50"/>
      <c r="AF258" s="50"/>
      <c r="AG258" s="50"/>
      <c r="AH258" s="50"/>
      <c r="AI258" s="120"/>
      <c r="AJ258" s="96">
        <f>SUM(AD258:AH258)</f>
        <v>0</v>
      </c>
      <c r="AK258" s="97">
        <f>IF(C258=2011, AJ258/3,AJ258)+AI258</f>
        <v>0</v>
      </c>
      <c r="AL258" s="22"/>
      <c r="AM258" s="151"/>
      <c r="AN258" s="151"/>
      <c r="AO258" s="151"/>
      <c r="AP258" s="151"/>
      <c r="AQ258" s="151"/>
      <c r="AR258" s="151"/>
      <c r="AT258" s="95"/>
      <c r="AU258" s="96"/>
      <c r="AV258" s="97"/>
    </row>
    <row r="259" spans="1:48" x14ac:dyDescent="0.25">
      <c r="A259" s="11" t="s">
        <v>485</v>
      </c>
      <c r="B259" s="60" t="s">
        <v>476</v>
      </c>
      <c r="C259" s="62">
        <v>2011</v>
      </c>
      <c r="D259" s="1">
        <f t="shared" si="66"/>
        <v>56</v>
      </c>
      <c r="G259" s="120">
        <f>3</f>
        <v>3</v>
      </c>
      <c r="H259" s="290"/>
      <c r="N259" s="267">
        <f t="shared" si="70"/>
        <v>56</v>
      </c>
      <c r="P259" s="96">
        <f t="shared" si="67"/>
        <v>56</v>
      </c>
      <c r="Q259" s="97">
        <f t="shared" si="71"/>
        <v>56</v>
      </c>
      <c r="S259" s="201"/>
      <c r="T259" s="192"/>
      <c r="U259" s="183"/>
      <c r="V259" s="168"/>
      <c r="W259" s="50"/>
      <c r="X259" s="50"/>
      <c r="Y259" s="215">
        <f>AK259</f>
        <v>56</v>
      </c>
      <c r="Z259" s="120"/>
      <c r="AA259" s="96">
        <f>S259+T259+U259+V259+W259+X259+Y259</f>
        <v>56</v>
      </c>
      <c r="AB259" s="97">
        <f>IF(C259=2012, AA259/3,AA259)+Z259</f>
        <v>56</v>
      </c>
      <c r="AC259" s="287"/>
      <c r="AD259" s="287"/>
      <c r="AE259" s="50">
        <f>42</f>
        <v>42</v>
      </c>
      <c r="AF259" s="50">
        <f>66</f>
        <v>66</v>
      </c>
      <c r="AG259" s="50">
        <f>32</f>
        <v>32</v>
      </c>
      <c r="AH259" s="50">
        <f>AV259</f>
        <v>28</v>
      </c>
      <c r="AI259" s="120"/>
      <c r="AJ259" s="96">
        <f>SUM(AD259:AH259)</f>
        <v>168</v>
      </c>
      <c r="AK259" s="97">
        <f>IF(C259=2011, AJ259/3,AJ259)+AI259</f>
        <v>56</v>
      </c>
      <c r="AL259" s="22"/>
      <c r="AM259" s="41"/>
      <c r="AN259" s="41"/>
      <c r="AO259" s="41"/>
      <c r="AP259" s="41"/>
      <c r="AQ259" s="41"/>
      <c r="AR259" s="41">
        <f>28</f>
        <v>28</v>
      </c>
      <c r="AT259" s="95"/>
      <c r="AU259" s="96">
        <f>SUM(AM259:AS259)</f>
        <v>28</v>
      </c>
      <c r="AV259" s="97">
        <f>IF(C259=2015, AU259/3,AU259)+AT259</f>
        <v>28</v>
      </c>
    </row>
    <row r="260" spans="1:48" x14ac:dyDescent="0.25">
      <c r="A260" s="11" t="s">
        <v>684</v>
      </c>
      <c r="B260" s="60" t="s">
        <v>64</v>
      </c>
      <c r="C260" s="62">
        <v>2013</v>
      </c>
      <c r="D260" s="1">
        <f t="shared" si="66"/>
        <v>7.333333333333333</v>
      </c>
      <c r="H260" s="290"/>
      <c r="I260" s="267"/>
      <c r="J260" s="267"/>
      <c r="K260" s="267"/>
      <c r="L260" s="267"/>
      <c r="M260" s="267"/>
      <c r="N260" s="267">
        <f t="shared" si="70"/>
        <v>22</v>
      </c>
      <c r="P260" s="96">
        <f t="shared" si="67"/>
        <v>22</v>
      </c>
      <c r="Q260" s="97">
        <f t="shared" si="71"/>
        <v>7.333333333333333</v>
      </c>
      <c r="R260" s="267"/>
      <c r="S260" s="201"/>
      <c r="T260" s="192"/>
      <c r="U260" s="183"/>
      <c r="V260" s="168"/>
      <c r="W260" s="50"/>
      <c r="X260" s="50"/>
      <c r="Y260" s="215">
        <f>AK260</f>
        <v>22</v>
      </c>
      <c r="Z260" s="152"/>
      <c r="AA260" s="96">
        <f>AM260+S260+T260+U260+V260+W260+X260+Y260</f>
        <v>22</v>
      </c>
      <c r="AB260" s="97">
        <f>IF(C260=2017, AA260/3,AA260)+Z260</f>
        <v>22</v>
      </c>
      <c r="AC260" s="290"/>
      <c r="AD260" s="290"/>
      <c r="AE260" s="50">
        <f>22</f>
        <v>22</v>
      </c>
      <c r="AF260" s="50"/>
      <c r="AG260" s="50"/>
      <c r="AH260" s="50"/>
      <c r="AI260" s="120"/>
      <c r="AJ260" s="96">
        <f>SUM(AE260:AH260)</f>
        <v>22</v>
      </c>
      <c r="AK260" s="97">
        <f>IF(C260=2016, AJ260/3,AJ260)+AI260</f>
        <v>22</v>
      </c>
      <c r="AL260" s="22"/>
      <c r="AM260" s="151"/>
      <c r="AN260" s="151"/>
      <c r="AO260" s="151"/>
      <c r="AP260" s="151"/>
      <c r="AQ260" s="151"/>
      <c r="AR260" s="151"/>
      <c r="AT260" s="95"/>
      <c r="AU260" s="96">
        <f>SUM(AM260:AS260)</f>
        <v>0</v>
      </c>
      <c r="AV260" s="97">
        <f>IF(C260=2015, AU260/3,AU260)+AT260</f>
        <v>0</v>
      </c>
    </row>
    <row r="261" spans="1:48" x14ac:dyDescent="0.25">
      <c r="A261" s="11" t="s">
        <v>835</v>
      </c>
      <c r="B261" s="60" t="s">
        <v>834</v>
      </c>
      <c r="C261" s="62">
        <v>2013</v>
      </c>
      <c r="D261" s="1">
        <f t="shared" si="66"/>
        <v>2</v>
      </c>
      <c r="H261" s="290"/>
      <c r="L261" s="231"/>
      <c r="M261" s="231"/>
      <c r="N261" s="267">
        <f t="shared" si="70"/>
        <v>6</v>
      </c>
      <c r="P261" s="96">
        <f t="shared" si="67"/>
        <v>6</v>
      </c>
      <c r="Q261" s="97">
        <f t="shared" si="71"/>
        <v>2</v>
      </c>
      <c r="R261" s="231"/>
      <c r="S261" s="201"/>
      <c r="T261" s="192">
        <f>0</f>
        <v>0</v>
      </c>
      <c r="U261" s="183"/>
      <c r="V261" s="168">
        <f>0+6</f>
        <v>6</v>
      </c>
      <c r="W261" s="50">
        <f>0</f>
        <v>0</v>
      </c>
      <c r="X261" s="50"/>
      <c r="Y261" s="215">
        <f>AK261</f>
        <v>0</v>
      </c>
      <c r="Z261" s="152"/>
      <c r="AA261" s="96">
        <f>AM261+S261+T261+U261+V261+W261+X261+Y261</f>
        <v>6</v>
      </c>
      <c r="AB261" s="97">
        <f>IF(C261=2017, AA261/3,AA261)+Z261</f>
        <v>6</v>
      </c>
      <c r="AE261" s="50"/>
      <c r="AF261" s="50"/>
      <c r="AG261" s="50"/>
      <c r="AH261" s="50"/>
      <c r="AI261" s="120"/>
      <c r="AJ261" s="96">
        <f>SUM(AE261:AH261)</f>
        <v>0</v>
      </c>
      <c r="AK261" s="97">
        <f>IF(C261=2016, AJ261/3,AJ261)+AI261</f>
        <v>0</v>
      </c>
      <c r="AL261" s="22"/>
      <c r="AM261" s="151"/>
      <c r="AN261" s="151"/>
      <c r="AO261" s="151"/>
      <c r="AP261" s="151"/>
      <c r="AQ261" s="151"/>
      <c r="AR261" s="151"/>
      <c r="AT261" s="95"/>
      <c r="AU261" s="96"/>
      <c r="AV261" s="97"/>
    </row>
    <row r="262" spans="1:48" x14ac:dyDescent="0.25">
      <c r="A262" s="11" t="s">
        <v>1177</v>
      </c>
      <c r="B262" s="87" t="s">
        <v>87</v>
      </c>
      <c r="C262" s="3">
        <v>2010</v>
      </c>
      <c r="D262" s="1">
        <f t="shared" si="66"/>
        <v>0</v>
      </c>
      <c r="L262" s="228">
        <f>0</f>
        <v>0</v>
      </c>
      <c r="N262" s="267">
        <f t="shared" si="70"/>
        <v>0</v>
      </c>
      <c r="P262" s="96">
        <f t="shared" si="67"/>
        <v>0</v>
      </c>
      <c r="Q262" s="97">
        <f t="shared" si="71"/>
        <v>0</v>
      </c>
      <c r="AE262" s="17"/>
    </row>
    <row r="263" spans="1:48" x14ac:dyDescent="0.25">
      <c r="A263" s="11" t="s">
        <v>1178</v>
      </c>
      <c r="B263" s="87" t="s">
        <v>87</v>
      </c>
      <c r="C263" s="3">
        <v>2010</v>
      </c>
      <c r="D263" s="1">
        <f t="shared" si="66"/>
        <v>0</v>
      </c>
      <c r="J263" s="256"/>
      <c r="K263" s="256"/>
      <c r="L263" s="256">
        <f>0</f>
        <v>0</v>
      </c>
      <c r="M263" s="256"/>
      <c r="N263" s="267">
        <f t="shared" si="70"/>
        <v>0</v>
      </c>
      <c r="P263" s="96">
        <f t="shared" si="67"/>
        <v>0</v>
      </c>
      <c r="Q263" s="97">
        <f t="shared" si="71"/>
        <v>0</v>
      </c>
      <c r="R263" s="256"/>
    </row>
    <row r="264" spans="1:48" x14ac:dyDescent="0.25">
      <c r="A264" s="11" t="s">
        <v>833</v>
      </c>
      <c r="B264" s="60" t="s">
        <v>834</v>
      </c>
      <c r="C264" s="62">
        <v>2013</v>
      </c>
      <c r="D264" s="1">
        <f t="shared" si="66"/>
        <v>2</v>
      </c>
      <c r="H264" s="290"/>
      <c r="I264" s="267"/>
      <c r="J264" s="267"/>
      <c r="K264" s="267"/>
      <c r="L264" s="267"/>
      <c r="M264" s="267"/>
      <c r="N264" s="267">
        <f t="shared" si="70"/>
        <v>6</v>
      </c>
      <c r="P264" s="96">
        <f t="shared" si="67"/>
        <v>6</v>
      </c>
      <c r="Q264" s="97">
        <f t="shared" si="71"/>
        <v>2</v>
      </c>
      <c r="R264" s="267"/>
      <c r="S264" s="201"/>
      <c r="T264" s="192"/>
      <c r="U264" s="183"/>
      <c r="V264" s="168">
        <f>0+6</f>
        <v>6</v>
      </c>
      <c r="W264" s="50">
        <f>0</f>
        <v>0</v>
      </c>
      <c r="X264" s="50"/>
      <c r="Y264" s="215">
        <f t="shared" ref="Y264:Y275" si="73">AK264</f>
        <v>0</v>
      </c>
      <c r="Z264" s="152"/>
      <c r="AA264" s="96">
        <f>AM264+S264+T264+U264+V264+W264+X264+Y264</f>
        <v>6</v>
      </c>
      <c r="AB264" s="97">
        <f>IF(C264=2017, AA264/3,AA264)+Z264</f>
        <v>6</v>
      </c>
      <c r="AE264" s="50"/>
      <c r="AF264" s="50"/>
      <c r="AG264" s="50"/>
      <c r="AH264" s="50"/>
      <c r="AI264" s="120"/>
      <c r="AJ264" s="96">
        <f>SUM(AE264:AH264)</f>
        <v>0</v>
      </c>
      <c r="AK264" s="97">
        <f>IF(C264=2016, AJ264/3,AJ264)+AI264</f>
        <v>0</v>
      </c>
      <c r="AL264" s="22"/>
      <c r="AM264" s="151"/>
      <c r="AN264" s="151"/>
      <c r="AO264" s="151"/>
      <c r="AP264" s="151"/>
      <c r="AQ264" s="151"/>
      <c r="AR264" s="151"/>
      <c r="AT264" s="95"/>
      <c r="AU264" s="96"/>
      <c r="AV264" s="97"/>
    </row>
    <row r="265" spans="1:48" x14ac:dyDescent="0.25">
      <c r="A265" s="11" t="s">
        <v>1051</v>
      </c>
      <c r="B265" s="71" t="s">
        <v>86</v>
      </c>
      <c r="C265" s="62">
        <v>2011</v>
      </c>
      <c r="D265" s="1">
        <f t="shared" si="66"/>
        <v>18</v>
      </c>
      <c r="E265" s="287"/>
      <c r="F265" s="287"/>
      <c r="H265" s="290"/>
      <c r="L265" s="231"/>
      <c r="M265" s="231"/>
      <c r="N265" s="267">
        <f t="shared" si="70"/>
        <v>18</v>
      </c>
      <c r="P265" s="96">
        <f t="shared" si="67"/>
        <v>18</v>
      </c>
      <c r="Q265" s="97">
        <f t="shared" si="71"/>
        <v>18</v>
      </c>
      <c r="R265" s="231"/>
      <c r="S265" s="252">
        <f>18</f>
        <v>18</v>
      </c>
      <c r="T265" s="252"/>
      <c r="U265" s="252"/>
      <c r="V265" s="252"/>
      <c r="W265" s="252"/>
      <c r="X265" s="252"/>
      <c r="Y265" s="215">
        <f t="shared" si="73"/>
        <v>0</v>
      </c>
      <c r="Z265" s="120"/>
      <c r="AA265" s="96">
        <f>S265+T265+U265+V265+W265+X265+Y265</f>
        <v>18</v>
      </c>
      <c r="AB265" s="97">
        <f>IF(C265=2012, AA265/3,AA265)+Z265</f>
        <v>18</v>
      </c>
      <c r="AC265" s="22"/>
      <c r="AD265" s="252"/>
      <c r="AE265" s="215"/>
      <c r="AF265" s="50"/>
      <c r="AG265" s="50"/>
      <c r="AH265" s="50"/>
      <c r="AI265" s="120"/>
      <c r="AJ265" s="96">
        <f>SUM(AD265:AH265)</f>
        <v>0</v>
      </c>
      <c r="AK265" s="97">
        <f>IF(C265=2011, AJ265/3,AJ265)+AI265</f>
        <v>0</v>
      </c>
      <c r="AL265" s="22"/>
      <c r="AM265" s="287"/>
      <c r="AN265" s="287"/>
      <c r="AO265" s="287"/>
      <c r="AP265" s="287"/>
      <c r="AQ265" s="287"/>
      <c r="AR265" s="287"/>
      <c r="AS265" s="285"/>
      <c r="AT265" s="95"/>
      <c r="AU265" s="96"/>
      <c r="AV265" s="97"/>
    </row>
    <row r="266" spans="1:48" x14ac:dyDescent="0.25">
      <c r="A266" s="11" t="s">
        <v>1041</v>
      </c>
      <c r="B266" s="71" t="s">
        <v>86</v>
      </c>
      <c r="C266" s="62">
        <v>2010</v>
      </c>
      <c r="D266" s="1">
        <f t="shared" si="66"/>
        <v>28</v>
      </c>
      <c r="E266" s="287"/>
      <c r="F266" s="287"/>
      <c r="H266" s="290"/>
      <c r="J266" s="256"/>
      <c r="K266" s="256"/>
      <c r="L266" s="256">
        <f>17</f>
        <v>17</v>
      </c>
      <c r="M266" s="256"/>
      <c r="N266" s="267">
        <f t="shared" si="70"/>
        <v>11</v>
      </c>
      <c r="P266" s="96">
        <f t="shared" si="67"/>
        <v>28</v>
      </c>
      <c r="Q266" s="97">
        <f t="shared" si="71"/>
        <v>28</v>
      </c>
      <c r="R266" s="256"/>
      <c r="S266" s="287">
        <f>11</f>
        <v>11</v>
      </c>
      <c r="T266" s="287"/>
      <c r="U266" s="287"/>
      <c r="V266" s="287"/>
      <c r="W266" s="287"/>
      <c r="X266" s="287"/>
      <c r="Y266" s="215">
        <f t="shared" si="73"/>
        <v>0</v>
      </c>
      <c r="Z266" s="120"/>
      <c r="AA266" s="96">
        <f>S266+T266+U266+V266+W266+X266+Y266</f>
        <v>11</v>
      </c>
      <c r="AB266" s="97">
        <f>IF(C266=2012, AA266/3,AA266)+Z266</f>
        <v>11</v>
      </c>
      <c r="AC266" s="22"/>
      <c r="AD266" s="287"/>
      <c r="AE266" s="172"/>
      <c r="AF266" s="50"/>
      <c r="AG266" s="50"/>
      <c r="AH266" s="50"/>
      <c r="AI266" s="120"/>
      <c r="AJ266" s="96">
        <f>SUM(AD266:AH266)</f>
        <v>0</v>
      </c>
      <c r="AK266" s="97">
        <f>IF(C266=2011, AJ266/3,AJ266)+AI266</f>
        <v>0</v>
      </c>
      <c r="AL266" s="22"/>
      <c r="AM266" s="287"/>
      <c r="AN266" s="287"/>
      <c r="AO266" s="287"/>
      <c r="AP266" s="287"/>
      <c r="AQ266" s="287"/>
      <c r="AR266" s="287"/>
      <c r="AS266" s="285"/>
      <c r="AT266" s="95"/>
      <c r="AU266" s="96"/>
      <c r="AV266" s="97"/>
    </row>
    <row r="267" spans="1:48" x14ac:dyDescent="0.25">
      <c r="A267" s="45" t="s">
        <v>773</v>
      </c>
      <c r="B267" s="11" t="s">
        <v>36</v>
      </c>
      <c r="C267" s="46">
        <v>2013</v>
      </c>
      <c r="D267" s="1">
        <f t="shared" si="66"/>
        <v>35.333333333333336</v>
      </c>
      <c r="E267" s="287"/>
      <c r="F267" s="287"/>
      <c r="H267" s="290"/>
      <c r="N267" s="267">
        <f t="shared" si="70"/>
        <v>106</v>
      </c>
      <c r="P267" s="96">
        <f t="shared" si="67"/>
        <v>106</v>
      </c>
      <c r="Q267" s="97">
        <f t="shared" si="71"/>
        <v>35.333333333333336</v>
      </c>
      <c r="S267" s="201"/>
      <c r="T267" s="192"/>
      <c r="U267" s="183"/>
      <c r="V267" s="168"/>
      <c r="W267" s="50"/>
      <c r="X267" s="50">
        <f>24</f>
        <v>24</v>
      </c>
      <c r="Y267" s="215">
        <f t="shared" si="73"/>
        <v>82</v>
      </c>
      <c r="Z267" s="120"/>
      <c r="AA267" s="96">
        <f>AM267+S267+T267+U267+V267+W267+X267+Y267</f>
        <v>106</v>
      </c>
      <c r="AB267" s="97">
        <f>IF(C267=2017, AA267/3,AA267)+Z267</f>
        <v>106</v>
      </c>
      <c r="AC267" s="290"/>
      <c r="AD267" s="290"/>
      <c r="AE267" s="50"/>
      <c r="AF267" s="50"/>
      <c r="AG267" s="50"/>
      <c r="AH267" s="50">
        <f>AV267</f>
        <v>82</v>
      </c>
      <c r="AI267" s="120"/>
      <c r="AJ267" s="96">
        <f>SUM(AE267:AH267)</f>
        <v>82</v>
      </c>
      <c r="AK267" s="97">
        <f>IF(C267=2016, AJ267/3,AJ267)+AI267</f>
        <v>82</v>
      </c>
      <c r="AL267" s="101"/>
      <c r="AM267" s="41"/>
      <c r="AN267" s="41"/>
      <c r="AO267" s="41"/>
      <c r="AP267" s="41"/>
      <c r="AQ267" s="41"/>
      <c r="AR267" s="41"/>
      <c r="AS267" s="286"/>
      <c r="AT267" s="95"/>
      <c r="AU267" s="96">
        <f>82</f>
        <v>82</v>
      </c>
      <c r="AV267" s="97">
        <f>IF(C267=2015, AU267/3,AU267)+AT267</f>
        <v>82</v>
      </c>
    </row>
    <row r="268" spans="1:48" x14ac:dyDescent="0.25">
      <c r="A268" s="11" t="s">
        <v>400</v>
      </c>
      <c r="B268" s="60" t="s">
        <v>111</v>
      </c>
      <c r="C268" s="62">
        <v>2010</v>
      </c>
      <c r="D268" s="1">
        <f t="shared" si="66"/>
        <v>51.333333333333329</v>
      </c>
      <c r="H268" s="290"/>
      <c r="J268" s="252"/>
      <c r="K268" s="252"/>
      <c r="L268" s="252"/>
      <c r="M268" s="252"/>
      <c r="N268" s="267">
        <f t="shared" si="70"/>
        <v>51.333333333333329</v>
      </c>
      <c r="P268" s="96">
        <f t="shared" si="67"/>
        <v>51.333333333333329</v>
      </c>
      <c r="Q268" s="97">
        <f t="shared" si="71"/>
        <v>51.333333333333329</v>
      </c>
      <c r="R268" s="252"/>
      <c r="S268" s="201"/>
      <c r="T268" s="192"/>
      <c r="U268" s="183"/>
      <c r="V268" s="168"/>
      <c r="W268" s="50"/>
      <c r="X268" s="50"/>
      <c r="Y268" s="215">
        <f t="shared" si="73"/>
        <v>51.333333333333329</v>
      </c>
      <c r="Z268" s="120"/>
      <c r="AA268" s="96">
        <f>S268+T268+U268+V268+W268+X268+Y268</f>
        <v>51.333333333333329</v>
      </c>
      <c r="AB268" s="97">
        <f>IF(C268=2012, AA268/3,AA268)+Z268</f>
        <v>51.333333333333329</v>
      </c>
      <c r="AC268" s="22"/>
      <c r="AD268" s="267">
        <f>0+8</f>
        <v>8</v>
      </c>
      <c r="AE268" s="187">
        <f>5+9</f>
        <v>14</v>
      </c>
      <c r="AF268" s="50">
        <f>0+5</f>
        <v>5</v>
      </c>
      <c r="AG268" s="50"/>
      <c r="AH268" s="50">
        <f>AV268</f>
        <v>24.333333333333332</v>
      </c>
      <c r="AI268" s="120"/>
      <c r="AJ268" s="96">
        <f>SUM(AD268:AH268)</f>
        <v>51.333333333333329</v>
      </c>
      <c r="AK268" s="97">
        <f>IF(C268=2011, AJ268/3,AJ268)+AI268</f>
        <v>51.333333333333329</v>
      </c>
      <c r="AL268" s="22"/>
      <c r="AM268" s="41"/>
      <c r="AN268" s="41"/>
      <c r="AO268" s="41"/>
      <c r="AP268" s="41"/>
      <c r="AQ268" s="41">
        <f>21+15</f>
        <v>36</v>
      </c>
      <c r="AR268" s="41">
        <f>37</f>
        <v>37</v>
      </c>
      <c r="AT268" s="95"/>
      <c r="AU268" s="96">
        <f>SUM(AM268:AS268)</f>
        <v>73</v>
      </c>
      <c r="AV268" s="97">
        <f>IF(C268=2010, AU268/3,AU268)+AT268</f>
        <v>24.333333333333332</v>
      </c>
    </row>
    <row r="269" spans="1:48" x14ac:dyDescent="0.25">
      <c r="A269" s="71" t="s">
        <v>244</v>
      </c>
      <c r="B269" s="71" t="s">
        <v>231</v>
      </c>
      <c r="C269" s="72">
        <v>2012</v>
      </c>
      <c r="D269" s="1">
        <f t="shared" si="66"/>
        <v>38</v>
      </c>
      <c r="H269" s="290"/>
      <c r="L269" s="231"/>
      <c r="M269" s="231"/>
      <c r="N269" s="267">
        <f t="shared" si="70"/>
        <v>38</v>
      </c>
      <c r="P269" s="96">
        <f t="shared" si="67"/>
        <v>38</v>
      </c>
      <c r="Q269" s="97">
        <f t="shared" si="71"/>
        <v>38</v>
      </c>
      <c r="R269" s="231"/>
      <c r="S269" s="201"/>
      <c r="T269" s="192"/>
      <c r="U269" s="183"/>
      <c r="V269" s="168"/>
      <c r="W269" s="50"/>
      <c r="X269" s="50"/>
      <c r="Y269" s="215">
        <f t="shared" si="73"/>
        <v>114</v>
      </c>
      <c r="Z269" s="120"/>
      <c r="AA269" s="96">
        <f>S269+T269+U269+V269+W269+X269+Y269</f>
        <v>114</v>
      </c>
      <c r="AB269" s="97">
        <f>IF(C269=2012, AA269/3,AA269)+Z269</f>
        <v>38</v>
      </c>
      <c r="AC269" s="269"/>
      <c r="AD269" s="269"/>
      <c r="AE269" s="231"/>
      <c r="AF269" s="50">
        <f>78</f>
        <v>78</v>
      </c>
      <c r="AG269" s="50"/>
      <c r="AH269" s="50">
        <f>AV269</f>
        <v>36</v>
      </c>
      <c r="AI269" s="120"/>
      <c r="AJ269" s="96">
        <f>SUM(AD269:AH269)</f>
        <v>114</v>
      </c>
      <c r="AK269" s="97">
        <f>IF(C269=2011, AJ269/3,AJ269)+AI269</f>
        <v>114</v>
      </c>
      <c r="AL269" s="22"/>
      <c r="AM269" s="287"/>
      <c r="AN269" s="287"/>
      <c r="AO269" s="287">
        <f>36</f>
        <v>36</v>
      </c>
      <c r="AP269" s="287"/>
      <c r="AQ269" s="287"/>
      <c r="AR269" s="287"/>
      <c r="AS269" s="285"/>
      <c r="AT269" s="95"/>
      <c r="AU269" s="96">
        <f>SUM(AM269:AS269)</f>
        <v>36</v>
      </c>
      <c r="AV269" s="97">
        <f>IF(C269=2015, AU269/3,AU269)+AT269</f>
        <v>36</v>
      </c>
    </row>
    <row r="270" spans="1:48" x14ac:dyDescent="0.25">
      <c r="A270" s="71" t="s">
        <v>585</v>
      </c>
      <c r="B270" s="71" t="s">
        <v>583</v>
      </c>
      <c r="C270" s="72">
        <v>2011</v>
      </c>
      <c r="D270" s="1">
        <f t="shared" si="66"/>
        <v>3</v>
      </c>
      <c r="E270" s="287"/>
      <c r="F270" s="287"/>
      <c r="I270" s="287"/>
      <c r="J270" s="287"/>
      <c r="K270" s="287"/>
      <c r="L270" s="287"/>
      <c r="M270" s="287"/>
      <c r="N270" s="267">
        <f t="shared" si="70"/>
        <v>3</v>
      </c>
      <c r="P270" s="96">
        <f t="shared" si="67"/>
        <v>3</v>
      </c>
      <c r="Q270" s="97">
        <f t="shared" si="71"/>
        <v>3</v>
      </c>
      <c r="R270" s="287"/>
      <c r="S270" s="201"/>
      <c r="T270" s="192"/>
      <c r="U270" s="183"/>
      <c r="V270" s="168"/>
      <c r="W270" s="50"/>
      <c r="X270" s="50"/>
      <c r="Y270" s="215">
        <f t="shared" si="73"/>
        <v>3</v>
      </c>
      <c r="Z270" s="120"/>
      <c r="AA270" s="96">
        <f>S270+T270+U270+V270+W270+X270+Y270</f>
        <v>3</v>
      </c>
      <c r="AB270" s="97">
        <f>IF(C270=2012, AA270/3,AA270)+Z270</f>
        <v>3</v>
      </c>
      <c r="AC270" s="256"/>
      <c r="AD270" s="256"/>
      <c r="AE270" s="50"/>
      <c r="AF270" s="50"/>
      <c r="AG270" s="50">
        <f>0</f>
        <v>0</v>
      </c>
      <c r="AH270" s="50"/>
      <c r="AI270" s="120">
        <f>3</f>
        <v>3</v>
      </c>
      <c r="AJ270" s="96">
        <f>SUM(AD270:AH270)</f>
        <v>0</v>
      </c>
      <c r="AK270" s="97">
        <f>IF(C270=2011, AJ270/3,AJ270)+AI270</f>
        <v>3</v>
      </c>
      <c r="AL270" s="22"/>
      <c r="AM270" s="287"/>
      <c r="AN270" s="287"/>
      <c r="AO270" s="287"/>
      <c r="AP270" s="287"/>
      <c r="AQ270" s="287"/>
      <c r="AR270" s="287"/>
      <c r="AS270" s="285"/>
      <c r="AT270" s="95"/>
      <c r="AU270" s="96"/>
      <c r="AV270" s="97"/>
    </row>
    <row r="271" spans="1:48" x14ac:dyDescent="0.25">
      <c r="A271" s="11" t="s">
        <v>836</v>
      </c>
      <c r="B271" s="60" t="s">
        <v>63</v>
      </c>
      <c r="C271" s="62">
        <v>2013</v>
      </c>
      <c r="D271" s="1">
        <f t="shared" si="66"/>
        <v>7.666666666666667</v>
      </c>
      <c r="N271" s="267">
        <f t="shared" si="70"/>
        <v>23</v>
      </c>
      <c r="P271" s="96">
        <f t="shared" si="67"/>
        <v>23</v>
      </c>
      <c r="Q271" s="97">
        <f t="shared" si="71"/>
        <v>7.666666666666667</v>
      </c>
      <c r="S271" s="201"/>
      <c r="T271" s="192"/>
      <c r="U271" s="183"/>
      <c r="V271" s="168">
        <f>23</f>
        <v>23</v>
      </c>
      <c r="W271" s="50">
        <f>0</f>
        <v>0</v>
      </c>
      <c r="X271" s="50"/>
      <c r="Y271" s="215">
        <f t="shared" si="73"/>
        <v>0</v>
      </c>
      <c r="Z271" s="152"/>
      <c r="AA271" s="96">
        <f>AM271+S271+T271+U271+V271+W271+X271+Y271</f>
        <v>23</v>
      </c>
      <c r="AB271" s="97">
        <f>IF(C271=2017, AA271/3,AA271)+Z271</f>
        <v>23</v>
      </c>
      <c r="AE271" s="256"/>
      <c r="AF271" s="50"/>
      <c r="AG271" s="50"/>
      <c r="AH271" s="50"/>
      <c r="AI271" s="120"/>
      <c r="AJ271" s="96">
        <f>SUM(AE271:AH271)</f>
        <v>0</v>
      </c>
      <c r="AK271" s="97">
        <f>IF(C271=2016, AJ271/3,AJ271)+AI271</f>
        <v>0</v>
      </c>
      <c r="AL271" s="22"/>
      <c r="AM271" s="151"/>
      <c r="AN271" s="151"/>
      <c r="AO271" s="151"/>
      <c r="AP271" s="151"/>
      <c r="AQ271" s="151"/>
      <c r="AR271" s="151"/>
      <c r="AT271" s="95"/>
      <c r="AU271" s="96"/>
      <c r="AV271" s="97"/>
    </row>
    <row r="272" spans="1:48" x14ac:dyDescent="0.25">
      <c r="A272" s="11" t="s">
        <v>765</v>
      </c>
      <c r="B272" s="60" t="s">
        <v>296</v>
      </c>
      <c r="C272" s="62">
        <v>2012</v>
      </c>
      <c r="D272" s="1">
        <f t="shared" ref="D272:D335" si="74">Q272+E272</f>
        <v>25.666666666666668</v>
      </c>
      <c r="I272" s="267"/>
      <c r="J272" s="267"/>
      <c r="K272" s="267"/>
      <c r="L272" s="267"/>
      <c r="M272" s="267"/>
      <c r="N272" s="267">
        <f t="shared" si="70"/>
        <v>25.666666666666668</v>
      </c>
      <c r="P272" s="96">
        <f t="shared" ref="P272:P335" si="75">I272+J272+K272+L272+N272</f>
        <v>25.666666666666668</v>
      </c>
      <c r="Q272" s="97">
        <f t="shared" si="71"/>
        <v>25.666666666666668</v>
      </c>
      <c r="R272" s="267"/>
      <c r="S272" s="201"/>
      <c r="T272" s="192"/>
      <c r="U272" s="183">
        <f>15+3</f>
        <v>18</v>
      </c>
      <c r="V272" s="168">
        <f>43</f>
        <v>43</v>
      </c>
      <c r="W272" s="50"/>
      <c r="X272" s="50">
        <f>16</f>
        <v>16</v>
      </c>
      <c r="Y272" s="215">
        <f t="shared" si="73"/>
        <v>0</v>
      </c>
      <c r="Z272" s="152"/>
      <c r="AA272" s="96">
        <f>S272+T272+U272+V272+W272+X272+Y272</f>
        <v>77</v>
      </c>
      <c r="AB272" s="97">
        <f>IF(C272=2012, AA272/3,AA272)+Z272</f>
        <v>25.666666666666668</v>
      </c>
      <c r="AC272" s="290"/>
      <c r="AD272" s="290"/>
      <c r="AE272" s="50"/>
      <c r="AF272" s="50"/>
      <c r="AG272" s="50"/>
      <c r="AH272" s="50"/>
      <c r="AI272" s="120"/>
      <c r="AJ272" s="96">
        <f>SUM(AD272:AH272)</f>
        <v>0</v>
      </c>
      <c r="AK272" s="97">
        <f>IF(C272=2011, AJ272/3,AJ272)+AI272</f>
        <v>0</v>
      </c>
      <c r="AL272" s="22"/>
      <c r="AM272" s="151"/>
      <c r="AN272" s="151"/>
      <c r="AO272" s="151"/>
      <c r="AP272" s="151"/>
      <c r="AQ272" s="151"/>
      <c r="AR272" s="151"/>
      <c r="AT272" s="95"/>
      <c r="AU272" s="96"/>
      <c r="AV272" s="97"/>
    </row>
    <row r="273" spans="1:48" x14ac:dyDescent="0.25">
      <c r="A273" s="11" t="s">
        <v>972</v>
      </c>
      <c r="B273" s="71" t="s">
        <v>63</v>
      </c>
      <c r="C273" s="62">
        <v>2011</v>
      </c>
      <c r="D273" s="1">
        <f t="shared" si="74"/>
        <v>8</v>
      </c>
      <c r="J273" s="252"/>
      <c r="K273" s="252"/>
      <c r="L273" s="252"/>
      <c r="M273" s="252"/>
      <c r="N273" s="267">
        <f t="shared" si="70"/>
        <v>8</v>
      </c>
      <c r="P273" s="96">
        <f t="shared" si="75"/>
        <v>8</v>
      </c>
      <c r="Q273" s="97">
        <f t="shared" si="71"/>
        <v>8</v>
      </c>
      <c r="R273" s="252"/>
      <c r="S273" s="201">
        <f>0+2</f>
        <v>2</v>
      </c>
      <c r="T273" s="192">
        <f>6</f>
        <v>6</v>
      </c>
      <c r="U273" s="183"/>
      <c r="V273" s="168"/>
      <c r="W273" s="50"/>
      <c r="X273" s="50"/>
      <c r="Y273" s="215">
        <f t="shared" si="73"/>
        <v>0</v>
      </c>
      <c r="Z273" s="120"/>
      <c r="AA273" s="96">
        <f>S273+T273+U273+V273+W273+X273+Y273</f>
        <v>8</v>
      </c>
      <c r="AB273" s="97">
        <f>IF(C273=2012, AA273/3,AA273)+Z273</f>
        <v>8</v>
      </c>
      <c r="AC273" s="22"/>
      <c r="AD273" s="231"/>
      <c r="AE273" s="50"/>
      <c r="AF273" s="50"/>
      <c r="AG273" s="50"/>
      <c r="AH273" s="50"/>
      <c r="AI273" s="120"/>
      <c r="AJ273" s="96">
        <f>SUM(AD273:AH273)</f>
        <v>0</v>
      </c>
      <c r="AK273" s="97">
        <f>IF(C273=2011, AJ273/3,AJ273)+AI273</f>
        <v>0</v>
      </c>
      <c r="AL273" s="22"/>
      <c r="AM273" s="287"/>
      <c r="AN273" s="287"/>
      <c r="AO273" s="287"/>
      <c r="AP273" s="287"/>
      <c r="AQ273" s="287"/>
      <c r="AR273" s="287"/>
      <c r="AS273" s="285"/>
      <c r="AT273" s="95"/>
      <c r="AU273" s="96"/>
      <c r="AV273" s="97"/>
    </row>
    <row r="274" spans="1:48" x14ac:dyDescent="0.25">
      <c r="A274" s="71" t="s">
        <v>479</v>
      </c>
      <c r="B274" s="11" t="s">
        <v>36</v>
      </c>
      <c r="C274" s="3">
        <v>2013</v>
      </c>
      <c r="D274" s="1">
        <f t="shared" si="74"/>
        <v>14.666666666666666</v>
      </c>
      <c r="I274" s="287"/>
      <c r="J274" s="287"/>
      <c r="K274" s="287"/>
      <c r="L274" s="287"/>
      <c r="M274" s="287"/>
      <c r="N274" s="267">
        <f t="shared" si="70"/>
        <v>44</v>
      </c>
      <c r="P274" s="96">
        <f t="shared" si="75"/>
        <v>44</v>
      </c>
      <c r="Q274" s="97">
        <f t="shared" si="71"/>
        <v>14.666666666666666</v>
      </c>
      <c r="R274" s="287"/>
      <c r="S274" s="201"/>
      <c r="T274" s="192"/>
      <c r="U274" s="183"/>
      <c r="V274" s="168">
        <f>34+10</f>
        <v>44</v>
      </c>
      <c r="W274" s="50"/>
      <c r="X274" s="50"/>
      <c r="Y274" s="215">
        <f t="shared" si="73"/>
        <v>0</v>
      </c>
      <c r="Z274" s="120"/>
      <c r="AA274" s="96">
        <f>AM274+S274+T274+U274+V274+W274+X274+Y274</f>
        <v>44</v>
      </c>
      <c r="AB274" s="97">
        <f>IF(C274=2017, AA274/3,AA274)+Z274</f>
        <v>44</v>
      </c>
      <c r="AC274" s="269"/>
      <c r="AD274" s="269"/>
      <c r="AE274" s="201"/>
      <c r="AF274" s="50"/>
      <c r="AG274" s="50"/>
      <c r="AH274" s="50">
        <f>AV274</f>
        <v>0</v>
      </c>
      <c r="AI274" s="120"/>
      <c r="AJ274" s="96">
        <f>SUM(AE274:AH274)</f>
        <v>0</v>
      </c>
      <c r="AK274" s="97">
        <f>IF(C274=2016, AJ274/3,AJ274)+AI274</f>
        <v>0</v>
      </c>
      <c r="AL274" s="22"/>
      <c r="AM274" s="41"/>
      <c r="AN274" s="41"/>
      <c r="AO274" s="41"/>
      <c r="AP274" s="41"/>
      <c r="AQ274" s="41"/>
      <c r="AR274" s="41">
        <f>0</f>
        <v>0</v>
      </c>
      <c r="AT274" s="95"/>
      <c r="AU274" s="96">
        <f>SUM(AM274:AS274)</f>
        <v>0</v>
      </c>
      <c r="AV274" s="97">
        <f>IF(C274=2015, AU274/3,AU274)+AT274</f>
        <v>0</v>
      </c>
    </row>
    <row r="275" spans="1:48" x14ac:dyDescent="0.25">
      <c r="A275" s="11" t="s">
        <v>748</v>
      </c>
      <c r="B275" s="60" t="s">
        <v>63</v>
      </c>
      <c r="C275" s="62">
        <v>2010</v>
      </c>
      <c r="D275" s="1">
        <f t="shared" si="74"/>
        <v>23</v>
      </c>
      <c r="I275" s="267"/>
      <c r="J275" s="267"/>
      <c r="K275" s="267"/>
      <c r="L275" s="267"/>
      <c r="M275" s="267"/>
      <c r="N275" s="267">
        <f t="shared" si="70"/>
        <v>23</v>
      </c>
      <c r="P275" s="96">
        <f t="shared" si="75"/>
        <v>23</v>
      </c>
      <c r="Q275" s="97">
        <f t="shared" si="71"/>
        <v>23</v>
      </c>
      <c r="R275" s="267"/>
      <c r="S275" s="201"/>
      <c r="T275" s="192">
        <f>10</f>
        <v>10</v>
      </c>
      <c r="U275" s="183">
        <f>4</f>
        <v>4</v>
      </c>
      <c r="V275" s="168">
        <f>2</f>
        <v>2</v>
      </c>
      <c r="W275" s="50">
        <f>4</f>
        <v>4</v>
      </c>
      <c r="X275" s="50">
        <f>0+3</f>
        <v>3</v>
      </c>
      <c r="Y275" s="215">
        <f t="shared" si="73"/>
        <v>0</v>
      </c>
      <c r="Z275" s="120"/>
      <c r="AA275" s="96">
        <f>S275+T275+U275+V275+W275+X275+Y275</f>
        <v>23</v>
      </c>
      <c r="AB275" s="97">
        <f>IF(C275=2012, AA275/3,AA275)+Z275</f>
        <v>23</v>
      </c>
      <c r="AC275" s="22"/>
      <c r="AD275" s="50">
        <f>0</f>
        <v>0</v>
      </c>
      <c r="AE275" s="50"/>
      <c r="AF275" s="50"/>
      <c r="AG275" s="50"/>
      <c r="AH275" s="50"/>
      <c r="AI275" s="120"/>
      <c r="AJ275" s="96">
        <f>SUM(AD275:AH275)</f>
        <v>0</v>
      </c>
      <c r="AK275" s="97">
        <f>IF(C275=2011, AJ275/3,AJ275)+AI275</f>
        <v>0</v>
      </c>
      <c r="AL275" s="22"/>
      <c r="AM275" s="41"/>
      <c r="AN275" s="41"/>
      <c r="AO275" s="41"/>
      <c r="AP275" s="41"/>
      <c r="AQ275" s="41"/>
      <c r="AR275" s="41"/>
      <c r="AT275" s="95"/>
      <c r="AU275" s="96"/>
      <c r="AV275" s="97"/>
    </row>
    <row r="276" spans="1:48" x14ac:dyDescent="0.25">
      <c r="A276" s="11" t="s">
        <v>1239</v>
      </c>
      <c r="B276" s="71" t="s">
        <v>404</v>
      </c>
      <c r="C276" s="62"/>
      <c r="D276" s="1">
        <f t="shared" si="74"/>
        <v>7</v>
      </c>
      <c r="I276" s="287"/>
      <c r="J276" s="287">
        <f>1</f>
        <v>1</v>
      </c>
      <c r="K276" s="287">
        <f>6</f>
        <v>6</v>
      </c>
      <c r="L276" s="287"/>
      <c r="M276" s="287"/>
      <c r="N276" s="267">
        <f t="shared" si="70"/>
        <v>0</v>
      </c>
      <c r="P276" s="96">
        <f t="shared" si="75"/>
        <v>7</v>
      </c>
      <c r="Q276" s="97">
        <f t="shared" si="71"/>
        <v>7</v>
      </c>
      <c r="R276" s="287"/>
      <c r="S276" s="201"/>
      <c r="T276" s="192"/>
      <c r="U276" s="183"/>
      <c r="V276" s="168"/>
      <c r="W276" s="50"/>
      <c r="X276" s="50"/>
      <c r="Y276" s="215"/>
      <c r="Z276" s="120"/>
      <c r="AA276" s="96"/>
      <c r="AB276" s="97"/>
      <c r="AC276" s="22"/>
      <c r="AD276" s="50"/>
      <c r="AE276" s="50"/>
      <c r="AF276" s="50"/>
      <c r="AG276" s="50"/>
      <c r="AH276" s="50"/>
      <c r="AI276" s="120"/>
      <c r="AJ276" s="96"/>
      <c r="AK276" s="97"/>
      <c r="AL276" s="22"/>
      <c r="AM276" s="287"/>
      <c r="AN276" s="287"/>
      <c r="AO276" s="287"/>
      <c r="AP276" s="287"/>
      <c r="AQ276" s="287"/>
      <c r="AR276" s="287"/>
      <c r="AS276" s="285"/>
      <c r="AT276" s="95"/>
      <c r="AU276" s="96"/>
      <c r="AV276" s="97"/>
    </row>
    <row r="277" spans="1:48" x14ac:dyDescent="0.25">
      <c r="A277" s="71" t="s">
        <v>408</v>
      </c>
      <c r="B277" s="71" t="s">
        <v>7</v>
      </c>
      <c r="C277" s="3">
        <v>2013</v>
      </c>
      <c r="D277" s="1">
        <f t="shared" si="74"/>
        <v>155</v>
      </c>
      <c r="E277" s="283">
        <f>36</f>
        <v>36</v>
      </c>
      <c r="I277" s="287"/>
      <c r="J277" s="287">
        <f>20</f>
        <v>20</v>
      </c>
      <c r="K277" s="287">
        <f>41+18</f>
        <v>59</v>
      </c>
      <c r="L277" s="287">
        <f>30+18</f>
        <v>48</v>
      </c>
      <c r="M277" s="287">
        <f>3+2</f>
        <v>5</v>
      </c>
      <c r="N277" s="267">
        <f t="shared" si="70"/>
        <v>230</v>
      </c>
      <c r="P277" s="96">
        <f t="shared" si="75"/>
        <v>357</v>
      </c>
      <c r="Q277" s="97">
        <f t="shared" si="71"/>
        <v>119</v>
      </c>
      <c r="R277" s="287"/>
      <c r="S277" s="287">
        <f>52+16</f>
        <v>68</v>
      </c>
      <c r="T277" s="287">
        <f>50+24</f>
        <v>74</v>
      </c>
      <c r="U277" s="287"/>
      <c r="V277" s="287">
        <f>0</f>
        <v>0</v>
      </c>
      <c r="W277" s="287">
        <f>22</f>
        <v>22</v>
      </c>
      <c r="X277" s="287">
        <f>0</f>
        <v>0</v>
      </c>
      <c r="Y277" s="215">
        <f>AK277</f>
        <v>66</v>
      </c>
      <c r="Z277" s="120"/>
      <c r="AA277" s="96">
        <f>AM277+S277+T277+U277+V277+W277+X277+Y277</f>
        <v>230</v>
      </c>
      <c r="AB277" s="97">
        <f>IF(C277=2017, AA277/3,AA277)+Z277</f>
        <v>230</v>
      </c>
      <c r="AC277" s="290"/>
      <c r="AD277" s="290"/>
      <c r="AE277" s="50">
        <f>0</f>
        <v>0</v>
      </c>
      <c r="AF277" s="50">
        <f>43</f>
        <v>43</v>
      </c>
      <c r="AG277" s="50">
        <f>13</f>
        <v>13</v>
      </c>
      <c r="AH277" s="50">
        <f>AV277</f>
        <v>10</v>
      </c>
      <c r="AI277" s="120"/>
      <c r="AJ277" s="96">
        <f>SUM(AE277:AH277)</f>
        <v>66</v>
      </c>
      <c r="AK277" s="97">
        <f>IF(C277=2016, AJ277/3,AJ277)+AI277</f>
        <v>66</v>
      </c>
      <c r="AL277" s="22"/>
      <c r="AM277" s="41"/>
      <c r="AN277" s="41"/>
      <c r="AO277" s="41"/>
      <c r="AP277" s="41"/>
      <c r="AQ277" s="41">
        <f>10</f>
        <v>10</v>
      </c>
      <c r="AR277" s="41"/>
      <c r="AT277" s="95"/>
      <c r="AU277" s="96">
        <f>SUM(AM277:AS277)</f>
        <v>10</v>
      </c>
      <c r="AV277" s="97">
        <f>IF(C277=2015, AU277/3,AU277)+AT277</f>
        <v>10</v>
      </c>
    </row>
    <row r="278" spans="1:48" x14ac:dyDescent="0.25">
      <c r="A278" s="11" t="s">
        <v>93</v>
      </c>
      <c r="B278" s="61" t="s">
        <v>86</v>
      </c>
      <c r="C278" s="62">
        <v>2010</v>
      </c>
      <c r="D278" s="1">
        <f t="shared" si="74"/>
        <v>13</v>
      </c>
      <c r="I278" s="108"/>
      <c r="J278" s="108"/>
      <c r="K278" s="108"/>
      <c r="L278" s="108"/>
      <c r="M278" s="108"/>
      <c r="N278" s="267">
        <f t="shared" si="70"/>
        <v>13</v>
      </c>
      <c r="P278" s="96">
        <f t="shared" si="75"/>
        <v>13</v>
      </c>
      <c r="Q278" s="97">
        <f t="shared" si="71"/>
        <v>13</v>
      </c>
      <c r="R278" s="108"/>
      <c r="S278" s="201">
        <f>0</f>
        <v>0</v>
      </c>
      <c r="T278" s="192"/>
      <c r="U278" s="183"/>
      <c r="V278" s="168"/>
      <c r="W278" s="50"/>
      <c r="X278" s="50"/>
      <c r="Y278" s="215">
        <f>AK278</f>
        <v>13</v>
      </c>
      <c r="Z278" s="120"/>
      <c r="AA278" s="96">
        <f>S278+T278+U278+V278+W278+X278+Y278</f>
        <v>13</v>
      </c>
      <c r="AB278" s="97">
        <f>IF(C278=2012, AA278/3,AA278)+Z278</f>
        <v>13</v>
      </c>
      <c r="AC278" s="22"/>
      <c r="AD278" s="252"/>
      <c r="AE278" s="50"/>
      <c r="AF278" s="50"/>
      <c r="AG278" s="50"/>
      <c r="AH278" s="50">
        <f>AV278</f>
        <v>13</v>
      </c>
      <c r="AI278" s="120"/>
      <c r="AJ278" s="96">
        <f>SUM(AD278:AH278)</f>
        <v>13</v>
      </c>
      <c r="AK278" s="97">
        <f>IF(C278=2011, AJ278/3,AJ278)+AI278</f>
        <v>13</v>
      </c>
      <c r="AL278" s="22"/>
      <c r="AM278" s="287"/>
      <c r="AN278" s="287">
        <v>39</v>
      </c>
      <c r="AO278" s="287"/>
      <c r="AP278" s="287"/>
      <c r="AQ278" s="287"/>
      <c r="AR278" s="287"/>
      <c r="AS278" s="285"/>
      <c r="AT278" s="95"/>
      <c r="AU278" s="96">
        <f>SUM(AM278:AS278)</f>
        <v>39</v>
      </c>
      <c r="AV278" s="97">
        <f>IF(C278=2010, AU278/3,AU278)+AT278</f>
        <v>13</v>
      </c>
    </row>
    <row r="279" spans="1:48" x14ac:dyDescent="0.25">
      <c r="A279" s="11" t="s">
        <v>1153</v>
      </c>
      <c r="B279" s="71" t="s">
        <v>86</v>
      </c>
      <c r="C279" s="62">
        <v>2012</v>
      </c>
      <c r="D279" s="1">
        <f t="shared" si="74"/>
        <v>8</v>
      </c>
      <c r="I279" s="267"/>
      <c r="J279" s="267"/>
      <c r="K279" s="267"/>
      <c r="L279" s="267">
        <f>8</f>
        <v>8</v>
      </c>
      <c r="M279" s="267"/>
      <c r="N279" s="267">
        <f t="shared" si="70"/>
        <v>0</v>
      </c>
      <c r="P279" s="96">
        <f t="shared" si="75"/>
        <v>8</v>
      </c>
      <c r="Q279" s="97">
        <f t="shared" si="71"/>
        <v>8</v>
      </c>
      <c r="R279" s="267"/>
      <c r="S279" s="201"/>
      <c r="T279" s="192"/>
      <c r="U279" s="183"/>
      <c r="V279" s="168"/>
      <c r="W279" s="50"/>
      <c r="X279" s="50"/>
      <c r="Y279" s="215"/>
      <c r="Z279" s="120"/>
      <c r="AA279" s="96"/>
      <c r="AB279" s="97"/>
      <c r="AC279" s="22"/>
      <c r="AD279" s="252"/>
      <c r="AE279" s="50"/>
      <c r="AF279" s="50"/>
      <c r="AG279" s="50"/>
      <c r="AH279" s="50"/>
      <c r="AI279" s="120"/>
      <c r="AJ279" s="96"/>
      <c r="AK279" s="97"/>
      <c r="AL279" s="22"/>
      <c r="AM279" s="287"/>
      <c r="AN279" s="287"/>
      <c r="AO279" s="287"/>
      <c r="AP279" s="287"/>
      <c r="AQ279" s="287"/>
      <c r="AR279" s="287"/>
      <c r="AS279" s="285"/>
      <c r="AT279" s="95"/>
      <c r="AU279" s="96"/>
      <c r="AV279" s="97"/>
    </row>
    <row r="280" spans="1:48" x14ac:dyDescent="0.25">
      <c r="A280" s="11" t="s">
        <v>1034</v>
      </c>
      <c r="B280" s="60" t="s">
        <v>86</v>
      </c>
      <c r="C280" s="62">
        <v>2013</v>
      </c>
      <c r="D280" s="1">
        <f t="shared" si="74"/>
        <v>0</v>
      </c>
      <c r="I280" s="287"/>
      <c r="J280" s="287"/>
      <c r="K280" s="287"/>
      <c r="L280" s="287"/>
      <c r="M280" s="287"/>
      <c r="N280" s="267">
        <f t="shared" si="70"/>
        <v>0</v>
      </c>
      <c r="P280" s="96">
        <f t="shared" si="75"/>
        <v>0</v>
      </c>
      <c r="Q280" s="97">
        <f t="shared" si="71"/>
        <v>0</v>
      </c>
      <c r="R280" s="287"/>
      <c r="S280" s="201">
        <f>0</f>
        <v>0</v>
      </c>
      <c r="T280" s="192"/>
      <c r="U280" s="183"/>
      <c r="V280" s="168"/>
      <c r="W280" s="50"/>
      <c r="X280" s="50"/>
      <c r="Y280" s="215">
        <f>AK280</f>
        <v>0</v>
      </c>
      <c r="Z280" s="152"/>
      <c r="AA280" s="96">
        <f>AM280+S280+T280+U280+V280+W280+X280+Y280</f>
        <v>0</v>
      </c>
      <c r="AB280" s="97">
        <f>IF(C280=2017, AA280/3,AA280)+Z280</f>
        <v>0</v>
      </c>
      <c r="AE280" s="50"/>
      <c r="AF280" s="50"/>
      <c r="AG280" s="50"/>
      <c r="AH280" s="50"/>
      <c r="AI280" s="120"/>
      <c r="AJ280" s="96">
        <f>SUM(AE280:AH280)</f>
        <v>0</v>
      </c>
      <c r="AK280" s="97">
        <f>IF(C280=2016, AJ280/3,AJ280)+AI280</f>
        <v>0</v>
      </c>
      <c r="AL280" s="22"/>
      <c r="AM280" s="151"/>
      <c r="AN280" s="151"/>
      <c r="AO280" s="151"/>
      <c r="AP280" s="151"/>
      <c r="AQ280" s="151"/>
      <c r="AR280" s="151"/>
      <c r="AT280" s="95"/>
      <c r="AU280" s="96"/>
      <c r="AV280" s="97"/>
    </row>
    <row r="281" spans="1:48" x14ac:dyDescent="0.25">
      <c r="A281" s="11" t="s">
        <v>1439</v>
      </c>
      <c r="B281" s="60" t="s">
        <v>63</v>
      </c>
      <c r="C281" s="62">
        <v>2010</v>
      </c>
      <c r="D281" s="1">
        <f t="shared" si="74"/>
        <v>54</v>
      </c>
      <c r="E281" s="283">
        <f>0</f>
        <v>0</v>
      </c>
      <c r="I281" s="261">
        <f>12</f>
        <v>12</v>
      </c>
      <c r="J281" s="246">
        <f>4</f>
        <v>4</v>
      </c>
      <c r="K281" s="241">
        <f>16</f>
        <v>16</v>
      </c>
      <c r="N281" s="267">
        <f t="shared" si="70"/>
        <v>22</v>
      </c>
      <c r="P281" s="96">
        <f t="shared" si="75"/>
        <v>54</v>
      </c>
      <c r="Q281" s="97">
        <f t="shared" si="71"/>
        <v>54</v>
      </c>
      <c r="S281" s="201">
        <f>11</f>
        <v>11</v>
      </c>
      <c r="T281" s="192">
        <f>9</f>
        <v>9</v>
      </c>
      <c r="U281" s="183">
        <f>2</f>
        <v>2</v>
      </c>
      <c r="V281" s="168"/>
      <c r="W281" s="50"/>
      <c r="X281" s="50"/>
      <c r="Y281" s="215">
        <f>AK281</f>
        <v>0</v>
      </c>
      <c r="Z281" s="120"/>
      <c r="AA281" s="96">
        <f>S281+T281+U281+V281+W281+X281+Y281</f>
        <v>22</v>
      </c>
      <c r="AB281" s="97">
        <f>IF(C281=2012, AA281/3,AA281)+Z281</f>
        <v>22</v>
      </c>
      <c r="AC281" s="22"/>
      <c r="AD281" s="287"/>
      <c r="AE281" s="50"/>
      <c r="AF281" s="50"/>
      <c r="AG281" s="50"/>
      <c r="AH281" s="50"/>
      <c r="AI281" s="120"/>
      <c r="AJ281" s="96">
        <f>SUM(AD281:AH281)</f>
        <v>0</v>
      </c>
      <c r="AK281" s="97">
        <f>IF(C281=2011, AJ281/3,AJ281)+AI281</f>
        <v>0</v>
      </c>
      <c r="AL281" s="22"/>
      <c r="AM281" s="41"/>
      <c r="AN281" s="41"/>
      <c r="AO281" s="41"/>
      <c r="AP281" s="41"/>
      <c r="AQ281" s="41"/>
      <c r="AR281" s="41"/>
      <c r="AT281" s="95"/>
      <c r="AU281" s="96"/>
      <c r="AV281" s="97"/>
    </row>
    <row r="282" spans="1:48" x14ac:dyDescent="0.25">
      <c r="A282" s="11" t="s">
        <v>262</v>
      </c>
      <c r="B282" s="60" t="s">
        <v>64</v>
      </c>
      <c r="C282" s="62">
        <v>2013</v>
      </c>
      <c r="D282" s="1">
        <f t="shared" si="74"/>
        <v>2</v>
      </c>
      <c r="E282" s="287"/>
      <c r="F282" s="287"/>
      <c r="I282" s="267"/>
      <c r="J282" s="267"/>
      <c r="K282" s="267"/>
      <c r="L282" s="267"/>
      <c r="M282" s="267"/>
      <c r="N282" s="267">
        <f t="shared" si="70"/>
        <v>6</v>
      </c>
      <c r="P282" s="96">
        <f t="shared" si="75"/>
        <v>6</v>
      </c>
      <c r="Q282" s="97">
        <f t="shared" si="71"/>
        <v>2</v>
      </c>
      <c r="R282" s="267"/>
      <c r="S282" s="201"/>
      <c r="T282" s="192"/>
      <c r="U282" s="183"/>
      <c r="V282" s="168">
        <f>0+6</f>
        <v>6</v>
      </c>
      <c r="W282" s="50">
        <f>0</f>
        <v>0</v>
      </c>
      <c r="X282" s="50"/>
      <c r="Y282" s="215">
        <f>AK282</f>
        <v>0</v>
      </c>
      <c r="Z282" s="120"/>
      <c r="AA282" s="96">
        <f>AM282+S282+T282+U282+V282+W282+X282+Y282</f>
        <v>6</v>
      </c>
      <c r="AB282" s="97">
        <f>IF(C282=2017, AA282/3,AA282)+Z282</f>
        <v>6</v>
      </c>
      <c r="AC282" s="290"/>
      <c r="AD282" s="290"/>
      <c r="AE282" s="50"/>
      <c r="AF282" s="50"/>
      <c r="AG282" s="50"/>
      <c r="AH282" s="50">
        <f>AV282</f>
        <v>0</v>
      </c>
      <c r="AI282" s="120"/>
      <c r="AJ282" s="96">
        <f>SUM(AE282:AH282)</f>
        <v>0</v>
      </c>
      <c r="AK282" s="97">
        <f>IF(C282=2016, AJ282/3,AJ282)+AI282</f>
        <v>0</v>
      </c>
      <c r="AL282" s="22"/>
      <c r="AM282" s="287"/>
      <c r="AN282" s="287"/>
      <c r="AO282" s="287">
        <f>0</f>
        <v>0</v>
      </c>
      <c r="AP282" s="287"/>
      <c r="AQ282" s="287"/>
      <c r="AR282" s="287"/>
      <c r="AS282" s="285"/>
      <c r="AT282" s="95"/>
      <c r="AU282" s="96">
        <f>SUM(AM282:AS282)</f>
        <v>0</v>
      </c>
      <c r="AV282" s="97">
        <f>IF(C282=2015, AU282/3,AU282)+AT282</f>
        <v>0</v>
      </c>
    </row>
    <row r="283" spans="1:48" x14ac:dyDescent="0.25">
      <c r="A283" s="11" t="s">
        <v>418</v>
      </c>
      <c r="B283" s="61" t="s">
        <v>7</v>
      </c>
      <c r="C283" s="62">
        <v>2013</v>
      </c>
      <c r="D283" s="1">
        <f t="shared" si="74"/>
        <v>24</v>
      </c>
      <c r="N283" s="267">
        <f t="shared" si="70"/>
        <v>72</v>
      </c>
      <c r="P283" s="96">
        <f t="shared" si="75"/>
        <v>72</v>
      </c>
      <c r="Q283" s="97">
        <f t="shared" si="71"/>
        <v>24</v>
      </c>
      <c r="S283" s="201"/>
      <c r="T283" s="192"/>
      <c r="U283" s="183"/>
      <c r="V283" s="168"/>
      <c r="W283" s="50">
        <f>22</f>
        <v>22</v>
      </c>
      <c r="X283" s="50">
        <f>12</f>
        <v>12</v>
      </c>
      <c r="Y283" s="215">
        <f>AK283</f>
        <v>38</v>
      </c>
      <c r="Z283" s="120"/>
      <c r="AA283" s="96">
        <f>AM283+S283+T283+U283+V283+W283+X283+Y283</f>
        <v>72</v>
      </c>
      <c r="AB283" s="97">
        <f>IF(C283=2017, AA283/3,AA283)+Z283</f>
        <v>72</v>
      </c>
      <c r="AC283" s="269"/>
      <c r="AD283" s="269"/>
      <c r="AE283" s="50">
        <f>0</f>
        <v>0</v>
      </c>
      <c r="AF283" s="50">
        <f>0</f>
        <v>0</v>
      </c>
      <c r="AG283" s="50">
        <f>32+3+1</f>
        <v>36</v>
      </c>
      <c r="AH283" s="50">
        <f>AV283</f>
        <v>2</v>
      </c>
      <c r="AI283" s="120"/>
      <c r="AJ283" s="96">
        <f>SUM(AE283:AH283)</f>
        <v>38</v>
      </c>
      <c r="AK283" s="97">
        <f>IF(C283=2016, AJ283/3,AJ283)+AI283</f>
        <v>38</v>
      </c>
      <c r="AL283" s="22"/>
      <c r="AM283" s="267"/>
      <c r="AN283" s="267"/>
      <c r="AO283" s="267"/>
      <c r="AP283" s="267"/>
      <c r="AQ283" s="267">
        <f>0</f>
        <v>0</v>
      </c>
      <c r="AR283" s="267">
        <f>0+2</f>
        <v>2</v>
      </c>
      <c r="AS283" s="265"/>
      <c r="AT283" s="95"/>
      <c r="AU283" s="96">
        <f>SUM(AM283:AS283)</f>
        <v>2</v>
      </c>
      <c r="AV283" s="97">
        <f>IF(C283=2015, AU283/3,AU283)+AT283</f>
        <v>2</v>
      </c>
    </row>
    <row r="284" spans="1:48" x14ac:dyDescent="0.25">
      <c r="A284" s="11" t="s">
        <v>98</v>
      </c>
      <c r="B284" s="61" t="s">
        <v>87</v>
      </c>
      <c r="C284" s="62">
        <v>2010</v>
      </c>
      <c r="D284" s="1">
        <f t="shared" si="74"/>
        <v>18</v>
      </c>
      <c r="E284" s="287"/>
      <c r="F284" s="287"/>
      <c r="I284" s="108"/>
      <c r="J284" s="108"/>
      <c r="K284" s="108"/>
      <c r="L284" s="108"/>
      <c r="M284" s="108"/>
      <c r="N284" s="267">
        <f t="shared" si="70"/>
        <v>18</v>
      </c>
      <c r="P284" s="96">
        <f t="shared" si="75"/>
        <v>18</v>
      </c>
      <c r="Q284" s="97">
        <f t="shared" si="71"/>
        <v>18</v>
      </c>
      <c r="R284" s="108"/>
      <c r="S284" s="201"/>
      <c r="T284" s="192"/>
      <c r="U284" s="183"/>
      <c r="V284" s="168"/>
      <c r="W284" s="50"/>
      <c r="X284" s="50"/>
      <c r="Y284" s="215">
        <f>AK284</f>
        <v>18</v>
      </c>
      <c r="Z284" s="120"/>
      <c r="AA284" s="96">
        <f>S284+T284+U284+V284+W284+X284+Y284</f>
        <v>18</v>
      </c>
      <c r="AB284" s="97">
        <f>IF(C284=2012, AA284/3,AA284)+Z284</f>
        <v>18</v>
      </c>
      <c r="AC284" s="22"/>
      <c r="AD284" s="287"/>
      <c r="AE284" s="50"/>
      <c r="AF284" s="50"/>
      <c r="AG284" s="50"/>
      <c r="AH284" s="50">
        <f>AV284</f>
        <v>18</v>
      </c>
      <c r="AI284" s="120"/>
      <c r="AJ284" s="96">
        <f>SUM(AD284:AH284)</f>
        <v>18</v>
      </c>
      <c r="AK284" s="97">
        <f>IF(C284=2011, AJ284/3,AJ284)+AI284</f>
        <v>18</v>
      </c>
      <c r="AL284" s="22"/>
      <c r="AM284" s="287"/>
      <c r="AN284" s="287">
        <v>18</v>
      </c>
      <c r="AO284" s="287"/>
      <c r="AP284" s="287"/>
      <c r="AQ284" s="287"/>
      <c r="AR284" s="287"/>
      <c r="AS284" s="285"/>
      <c r="AT284" s="95">
        <f>12</f>
        <v>12</v>
      </c>
      <c r="AU284" s="96">
        <f>SUM(AM284:AS284)</f>
        <v>18</v>
      </c>
      <c r="AV284" s="97">
        <f>IF(C284=2010, AU284/3,AU284)+AT284</f>
        <v>18</v>
      </c>
    </row>
    <row r="285" spans="1:48" x14ac:dyDescent="0.25">
      <c r="A285" s="45" t="s">
        <v>1139</v>
      </c>
      <c r="B285" s="66" t="s">
        <v>476</v>
      </c>
      <c r="C285" s="46">
        <v>2013</v>
      </c>
      <c r="D285" s="1">
        <f t="shared" si="74"/>
        <v>0</v>
      </c>
      <c r="E285" s="287"/>
      <c r="F285" s="287"/>
      <c r="I285" s="108"/>
      <c r="J285" s="108"/>
      <c r="K285" s="108"/>
      <c r="L285" s="108">
        <f>0</f>
        <v>0</v>
      </c>
      <c r="M285" s="108"/>
      <c r="N285" s="267">
        <f t="shared" si="70"/>
        <v>0</v>
      </c>
      <c r="P285" s="96">
        <f t="shared" si="75"/>
        <v>0</v>
      </c>
      <c r="Q285" s="97">
        <f t="shared" si="71"/>
        <v>0</v>
      </c>
      <c r="R285" s="108"/>
      <c r="S285" s="108"/>
      <c r="T285" s="108"/>
      <c r="U285" s="108"/>
      <c r="V285" s="108"/>
      <c r="W285" s="108"/>
      <c r="X285" s="108"/>
      <c r="Y285" s="215"/>
      <c r="Z285" s="101"/>
      <c r="AA285" s="96"/>
      <c r="AB285" s="97"/>
      <c r="AE285" s="108"/>
      <c r="AF285" s="108"/>
      <c r="AG285" s="108"/>
      <c r="AH285" s="122"/>
      <c r="AI285" s="74"/>
      <c r="AJ285" s="96"/>
      <c r="AK285" s="97"/>
      <c r="AL285" s="41"/>
      <c r="AM285" s="41"/>
      <c r="AN285" s="41"/>
      <c r="AO285" s="41"/>
      <c r="AP285" s="41"/>
      <c r="AQ285" s="41"/>
      <c r="AR285" s="41"/>
      <c r="AS285" s="74"/>
    </row>
    <row r="286" spans="1:48" x14ac:dyDescent="0.25">
      <c r="A286" s="45" t="s">
        <v>1115</v>
      </c>
      <c r="B286" s="66" t="s">
        <v>86</v>
      </c>
      <c r="C286" s="46">
        <v>2013</v>
      </c>
      <c r="D286" s="1">
        <f t="shared" si="74"/>
        <v>0</v>
      </c>
      <c r="E286" s="287"/>
      <c r="F286" s="287"/>
      <c r="I286" s="108"/>
      <c r="J286" s="108"/>
      <c r="K286" s="108"/>
      <c r="L286" s="108">
        <f>0</f>
        <v>0</v>
      </c>
      <c r="M286" s="108"/>
      <c r="N286" s="267">
        <f t="shared" si="70"/>
        <v>0</v>
      </c>
      <c r="P286" s="96">
        <f t="shared" si="75"/>
        <v>0</v>
      </c>
      <c r="Q286" s="97">
        <f t="shared" si="71"/>
        <v>0</v>
      </c>
      <c r="R286" s="108"/>
      <c r="S286" s="108"/>
      <c r="T286" s="108"/>
      <c r="U286" s="108"/>
      <c r="V286" s="108"/>
      <c r="W286" s="108"/>
      <c r="X286" s="108"/>
      <c r="Y286" s="215"/>
      <c r="Z286" s="101"/>
      <c r="AA286" s="96"/>
      <c r="AB286" s="97"/>
      <c r="AE286" s="108"/>
      <c r="AF286" s="108"/>
      <c r="AG286" s="108"/>
      <c r="AH286" s="122"/>
      <c r="AI286" s="74"/>
      <c r="AJ286" s="96"/>
      <c r="AK286" s="97"/>
      <c r="AL286" s="41"/>
      <c r="AM286" s="41"/>
      <c r="AN286" s="41"/>
      <c r="AO286" s="41"/>
      <c r="AP286" s="41"/>
      <c r="AQ286" s="41"/>
      <c r="AR286" s="41"/>
      <c r="AS286" s="74"/>
    </row>
    <row r="287" spans="1:48" x14ac:dyDescent="0.25">
      <c r="A287" s="11" t="s">
        <v>815</v>
      </c>
      <c r="B287" s="60" t="s">
        <v>583</v>
      </c>
      <c r="C287" s="62">
        <v>2013</v>
      </c>
      <c r="D287" s="1">
        <f t="shared" si="74"/>
        <v>1</v>
      </c>
      <c r="E287" s="287"/>
      <c r="F287" s="287"/>
      <c r="J287" s="256"/>
      <c r="K287" s="256"/>
      <c r="L287" s="256"/>
      <c r="M287" s="256"/>
      <c r="N287" s="267">
        <f t="shared" si="70"/>
        <v>3</v>
      </c>
      <c r="P287" s="96">
        <f t="shared" si="75"/>
        <v>3</v>
      </c>
      <c r="Q287" s="97">
        <f t="shared" si="71"/>
        <v>1</v>
      </c>
      <c r="R287" s="256"/>
      <c r="S287" s="201"/>
      <c r="T287" s="192"/>
      <c r="U287" s="183"/>
      <c r="V287" s="168"/>
      <c r="W287" s="50"/>
      <c r="X287" s="50">
        <f>3</f>
        <v>3</v>
      </c>
      <c r="Y287" s="215">
        <f t="shared" ref="Y287:Y320" si="76">AK287</f>
        <v>0</v>
      </c>
      <c r="Z287" s="152"/>
      <c r="AA287" s="96">
        <f>AM287+S287+T287+U287+V287+W287+X287+Y287</f>
        <v>3</v>
      </c>
      <c r="AB287" s="97">
        <f>IF(C287=2017, AA287/3,AA287)+Z287</f>
        <v>3</v>
      </c>
      <c r="AC287" s="290"/>
      <c r="AD287" s="290"/>
      <c r="AE287" s="50"/>
      <c r="AF287" s="50"/>
      <c r="AG287" s="50"/>
      <c r="AH287" s="50"/>
      <c r="AI287" s="120"/>
      <c r="AJ287" s="96">
        <f>SUM(AE287:AH287)</f>
        <v>0</v>
      </c>
      <c r="AK287" s="97">
        <f>IF(C287=2016, AJ287/3,AJ287)+AI287</f>
        <v>0</v>
      </c>
      <c r="AL287" s="22"/>
      <c r="AM287" s="287"/>
      <c r="AN287" s="287"/>
      <c r="AO287" s="287"/>
      <c r="AP287" s="287"/>
      <c r="AQ287" s="287"/>
      <c r="AR287" s="287"/>
      <c r="AS287" s="285"/>
      <c r="AT287" s="95"/>
      <c r="AU287" s="96"/>
      <c r="AV287" s="97"/>
    </row>
    <row r="288" spans="1:48" x14ac:dyDescent="0.25">
      <c r="A288" s="11" t="s">
        <v>305</v>
      </c>
      <c r="B288" s="61" t="s">
        <v>0</v>
      </c>
      <c r="C288" s="62">
        <v>2010</v>
      </c>
      <c r="D288" s="1">
        <f t="shared" si="74"/>
        <v>84.333333333333343</v>
      </c>
      <c r="J288" s="256"/>
      <c r="K288" s="256"/>
      <c r="L288" s="256"/>
      <c r="M288" s="256"/>
      <c r="N288" s="267">
        <f t="shared" si="70"/>
        <v>84.333333333333343</v>
      </c>
      <c r="P288" s="96">
        <f t="shared" si="75"/>
        <v>84.333333333333343</v>
      </c>
      <c r="Q288" s="97">
        <f t="shared" si="71"/>
        <v>84.333333333333343</v>
      </c>
      <c r="R288" s="256"/>
      <c r="S288" s="201"/>
      <c r="T288" s="192"/>
      <c r="U288" s="183">
        <f>10</f>
        <v>10</v>
      </c>
      <c r="V288" s="168">
        <f>24</f>
        <v>24</v>
      </c>
      <c r="W288" s="50">
        <f>6</f>
        <v>6</v>
      </c>
      <c r="X288" s="50">
        <f>0+3</f>
        <v>3</v>
      </c>
      <c r="Y288" s="215">
        <f t="shared" si="76"/>
        <v>38.333333333333336</v>
      </c>
      <c r="Z288" s="120">
        <f>3</f>
        <v>3</v>
      </c>
      <c r="AA288" s="96">
        <f>S288+T288+U288+V288+W288+X288+Y288</f>
        <v>81.333333333333343</v>
      </c>
      <c r="AB288" s="97">
        <f>IF(C288=2012, AA288/3,AA288)+Z288</f>
        <v>84.333333333333343</v>
      </c>
      <c r="AC288" s="22"/>
      <c r="AD288" s="231">
        <f>8</f>
        <v>8</v>
      </c>
      <c r="AE288" s="50">
        <f>10</f>
        <v>10</v>
      </c>
      <c r="AF288" s="50">
        <f>10</f>
        <v>10</v>
      </c>
      <c r="AG288" s="50"/>
      <c r="AH288" s="50">
        <f>AV288</f>
        <v>10.333333333333334</v>
      </c>
      <c r="AI288" s="120"/>
      <c r="AJ288" s="96">
        <f>SUM(AD288:AH288)</f>
        <v>38.333333333333336</v>
      </c>
      <c r="AK288" s="97">
        <f>IF(C288=2011, AJ288/3,AJ288)+AI288</f>
        <v>38.333333333333336</v>
      </c>
      <c r="AL288" s="22"/>
      <c r="AM288" s="287"/>
      <c r="AN288" s="287"/>
      <c r="AO288" s="287"/>
      <c r="AP288" s="287">
        <f>28</f>
        <v>28</v>
      </c>
      <c r="AQ288" s="287"/>
      <c r="AR288" s="287">
        <f>3</f>
        <v>3</v>
      </c>
      <c r="AS288" s="285"/>
      <c r="AT288" s="95"/>
      <c r="AU288" s="96">
        <f t="shared" ref="AU288:AU294" si="77">SUM(AM288:AS288)</f>
        <v>31</v>
      </c>
      <c r="AV288" s="97">
        <f>IF(C288=2010, AU288/3,AU288)+AT288</f>
        <v>10.333333333333334</v>
      </c>
    </row>
    <row r="289" spans="1:48" x14ac:dyDescent="0.25">
      <c r="A289" s="11" t="s">
        <v>320</v>
      </c>
      <c r="B289" s="61" t="s">
        <v>231</v>
      </c>
      <c r="C289" s="62">
        <v>2013</v>
      </c>
      <c r="D289" s="1">
        <f t="shared" si="74"/>
        <v>26.333333333333332</v>
      </c>
      <c r="N289" s="267">
        <f t="shared" si="70"/>
        <v>79</v>
      </c>
      <c r="P289" s="96">
        <f t="shared" si="75"/>
        <v>79</v>
      </c>
      <c r="Q289" s="97">
        <f t="shared" si="71"/>
        <v>26.333333333333332</v>
      </c>
      <c r="S289" s="201"/>
      <c r="T289" s="192"/>
      <c r="U289" s="183"/>
      <c r="V289" s="168"/>
      <c r="W289" s="50"/>
      <c r="X289" s="50">
        <f>38</f>
        <v>38</v>
      </c>
      <c r="Y289" s="215">
        <f t="shared" si="76"/>
        <v>41</v>
      </c>
      <c r="Z289" s="120"/>
      <c r="AA289" s="96">
        <f>AM289+S289+T289+U289+V289+W289+X289+Y289</f>
        <v>79</v>
      </c>
      <c r="AB289" s="97">
        <f>IF(C289=2017, AA289/3,AA289)+Z289</f>
        <v>79</v>
      </c>
      <c r="AC289" s="290"/>
      <c r="AD289" s="290"/>
      <c r="AE289" s="50">
        <f>8</f>
        <v>8</v>
      </c>
      <c r="AF289" s="50">
        <f>6</f>
        <v>6</v>
      </c>
      <c r="AG289" s="50">
        <f>27</f>
        <v>27</v>
      </c>
      <c r="AH289" s="50">
        <f>AV289</f>
        <v>0</v>
      </c>
      <c r="AI289" s="120"/>
      <c r="AJ289" s="96">
        <f>SUM(AE289:AH289)</f>
        <v>41</v>
      </c>
      <c r="AK289" s="97">
        <f>IF(C289=2016, AJ289/3,AJ289)+AI289</f>
        <v>41</v>
      </c>
      <c r="AL289" s="22"/>
      <c r="AM289" s="267"/>
      <c r="AN289" s="267"/>
      <c r="AO289" s="267"/>
      <c r="AP289" s="267">
        <f>0</f>
        <v>0</v>
      </c>
      <c r="AQ289" s="267"/>
      <c r="AR289" s="267"/>
      <c r="AS289" s="265"/>
      <c r="AT289" s="95"/>
      <c r="AU289" s="96">
        <f t="shared" si="77"/>
        <v>0</v>
      </c>
      <c r="AV289" s="97">
        <f t="shared" ref="AV289:AV294" si="78">IF(C289=2015, AU289/3,AU289)+AT289</f>
        <v>0</v>
      </c>
    </row>
    <row r="290" spans="1:48" x14ac:dyDescent="0.25">
      <c r="A290" s="11" t="s">
        <v>720</v>
      </c>
      <c r="B290" s="60" t="s">
        <v>0</v>
      </c>
      <c r="C290" s="62">
        <v>2012</v>
      </c>
      <c r="D290" s="1">
        <f t="shared" si="74"/>
        <v>0</v>
      </c>
      <c r="E290" s="154"/>
      <c r="F290" s="154"/>
      <c r="I290" s="267"/>
      <c r="J290" s="267"/>
      <c r="K290" s="267"/>
      <c r="L290" s="267"/>
      <c r="M290" s="267"/>
      <c r="N290" s="267">
        <f t="shared" si="70"/>
        <v>0</v>
      </c>
      <c r="P290" s="96">
        <f t="shared" si="75"/>
        <v>0</v>
      </c>
      <c r="Q290" s="97">
        <f t="shared" si="71"/>
        <v>0</v>
      </c>
      <c r="R290" s="267"/>
      <c r="S290" s="287"/>
      <c r="T290" s="287"/>
      <c r="U290" s="287"/>
      <c r="V290" s="287"/>
      <c r="W290" s="287"/>
      <c r="X290" s="287"/>
      <c r="Y290" s="287">
        <f t="shared" si="76"/>
        <v>0</v>
      </c>
      <c r="Z290" s="152"/>
      <c r="AA290" s="96">
        <f>S290+T290+U290+V290+W290+X290+Y290</f>
        <v>0</v>
      </c>
      <c r="AB290" s="97">
        <f>IF(C290=2012, AA290/3,AA290)+Z290</f>
        <v>0</v>
      </c>
      <c r="AC290" s="290"/>
      <c r="AD290" s="290"/>
      <c r="AE290" s="287"/>
      <c r="AF290" s="287"/>
      <c r="AG290" s="287"/>
      <c r="AH290" s="287"/>
      <c r="AI290" s="120"/>
      <c r="AJ290" s="96">
        <f>SUM(AD290:AH290)</f>
        <v>0</v>
      </c>
      <c r="AK290" s="97">
        <f>IF(C290=2011, AJ290/3,AJ290)+AI290</f>
        <v>0</v>
      </c>
      <c r="AL290" s="22"/>
      <c r="AM290" s="287"/>
      <c r="AN290" s="287"/>
      <c r="AO290" s="287"/>
      <c r="AP290" s="287"/>
      <c r="AQ290" s="287"/>
      <c r="AR290" s="287"/>
      <c r="AS290" s="285"/>
      <c r="AT290" s="95"/>
      <c r="AU290" s="96">
        <f t="shared" si="77"/>
        <v>0</v>
      </c>
      <c r="AV290" s="97">
        <f t="shared" si="78"/>
        <v>0</v>
      </c>
    </row>
    <row r="291" spans="1:48" x14ac:dyDescent="0.25">
      <c r="A291" s="11" t="s">
        <v>95</v>
      </c>
      <c r="B291" s="61" t="s">
        <v>63</v>
      </c>
      <c r="C291" s="62">
        <v>2011</v>
      </c>
      <c r="D291" s="1">
        <f t="shared" si="74"/>
        <v>109.33333333333333</v>
      </c>
      <c r="E291" s="154">
        <f>0</f>
        <v>0</v>
      </c>
      <c r="F291" s="154"/>
      <c r="I291" s="154"/>
      <c r="J291" s="154"/>
      <c r="K291" s="154"/>
      <c r="L291" s="154"/>
      <c r="M291" s="154"/>
      <c r="N291" s="267">
        <f t="shared" si="70"/>
        <v>109.33333333333333</v>
      </c>
      <c r="P291" s="96">
        <f t="shared" si="75"/>
        <v>109.33333333333333</v>
      </c>
      <c r="Q291" s="97">
        <f t="shared" si="71"/>
        <v>109.33333333333333</v>
      </c>
      <c r="R291" s="154"/>
      <c r="S291" s="201"/>
      <c r="T291" s="192"/>
      <c r="U291" s="183">
        <f>0</f>
        <v>0</v>
      </c>
      <c r="V291" s="168">
        <f>0+6</f>
        <v>6</v>
      </c>
      <c r="W291" s="50">
        <f>0+6</f>
        <v>6</v>
      </c>
      <c r="X291" s="50">
        <f>0+9</f>
        <v>9</v>
      </c>
      <c r="Y291" s="215">
        <f t="shared" si="76"/>
        <v>88.333333333333329</v>
      </c>
      <c r="Z291" s="120"/>
      <c r="AA291" s="96">
        <f>S291+T291+U291+V291+W291+X291+Y291</f>
        <v>109.33333333333333</v>
      </c>
      <c r="AB291" s="97">
        <f>IF(C291=2012, AA291/3,AA291)+Z291</f>
        <v>109.33333333333333</v>
      </c>
      <c r="AC291" s="287"/>
      <c r="AD291" s="287">
        <f>0</f>
        <v>0</v>
      </c>
      <c r="AE291" s="50"/>
      <c r="AF291" s="50">
        <f>32+33</f>
        <v>65</v>
      </c>
      <c r="AG291" s="50">
        <f>16+45</f>
        <v>61</v>
      </c>
      <c r="AH291" s="50">
        <f>AV291</f>
        <v>139</v>
      </c>
      <c r="AI291" s="120"/>
      <c r="AJ291" s="96">
        <f>SUM(AD291:AH291)</f>
        <v>265</v>
      </c>
      <c r="AK291" s="97">
        <f>IF(C291=2011, AJ291/3,AJ291)+AI291</f>
        <v>88.333333333333329</v>
      </c>
      <c r="AL291" s="22"/>
      <c r="AM291" s="252"/>
      <c r="AN291" s="252">
        <f>33+3</f>
        <v>36</v>
      </c>
      <c r="AO291" s="252"/>
      <c r="AP291" s="252">
        <f>27+6</f>
        <v>33</v>
      </c>
      <c r="AQ291" s="252"/>
      <c r="AR291" s="252">
        <f>32+15</f>
        <v>47</v>
      </c>
      <c r="AS291" s="254">
        <f>23</f>
        <v>23</v>
      </c>
      <c r="AT291" s="95"/>
      <c r="AU291" s="96">
        <f t="shared" si="77"/>
        <v>139</v>
      </c>
      <c r="AV291" s="97">
        <f t="shared" si="78"/>
        <v>139</v>
      </c>
    </row>
    <row r="292" spans="1:48" x14ac:dyDescent="0.25">
      <c r="A292" s="71" t="s">
        <v>249</v>
      </c>
      <c r="B292" s="71" t="s">
        <v>231</v>
      </c>
      <c r="C292" s="72">
        <v>2013</v>
      </c>
      <c r="D292" s="1">
        <f t="shared" si="74"/>
        <v>0</v>
      </c>
      <c r="E292" s="154"/>
      <c r="F292" s="154"/>
      <c r="N292" s="267">
        <f t="shared" ref="N292:N355" si="79">AB292</f>
        <v>0</v>
      </c>
      <c r="P292" s="96">
        <f t="shared" si="75"/>
        <v>0</v>
      </c>
      <c r="Q292" s="97">
        <f t="shared" ref="Q292:Q355" si="80">IF(C292=2013, P292/3,P292)+O292</f>
        <v>0</v>
      </c>
      <c r="S292" s="201"/>
      <c r="T292" s="192"/>
      <c r="U292" s="183"/>
      <c r="V292" s="168"/>
      <c r="W292" s="50"/>
      <c r="X292" s="50"/>
      <c r="Y292" s="215">
        <f t="shared" si="76"/>
        <v>0</v>
      </c>
      <c r="Z292" s="120"/>
      <c r="AA292" s="96">
        <f>AM292+S292+T292+U292+V292+W292+X292+Y292</f>
        <v>0</v>
      </c>
      <c r="AB292" s="97">
        <f>IF(C292=2017, AA292/3,AA292)+Z292</f>
        <v>0</v>
      </c>
      <c r="AC292" s="269"/>
      <c r="AD292" s="269"/>
      <c r="AE292" s="50"/>
      <c r="AF292" s="50"/>
      <c r="AG292" s="50"/>
      <c r="AH292" s="50">
        <f>AV292</f>
        <v>0</v>
      </c>
      <c r="AI292" s="120"/>
      <c r="AJ292" s="96">
        <f>SUM(AE292:AH292)</f>
        <v>0</v>
      </c>
      <c r="AK292" s="97">
        <f>IF(C292=2016, AJ292/3,AJ292)+AI292</f>
        <v>0</v>
      </c>
      <c r="AL292" s="22"/>
      <c r="AM292" s="267"/>
      <c r="AN292" s="267"/>
      <c r="AO292" s="267">
        <f>0</f>
        <v>0</v>
      </c>
      <c r="AP292" s="267"/>
      <c r="AQ292" s="267"/>
      <c r="AR292" s="267"/>
      <c r="AS292" s="265"/>
      <c r="AT292" s="95"/>
      <c r="AU292" s="96">
        <f t="shared" si="77"/>
        <v>0</v>
      </c>
      <c r="AV292" s="97">
        <f t="shared" si="78"/>
        <v>0</v>
      </c>
    </row>
    <row r="293" spans="1:48" x14ac:dyDescent="0.25">
      <c r="A293" s="71" t="s">
        <v>402</v>
      </c>
      <c r="B293" s="71" t="s">
        <v>7</v>
      </c>
      <c r="C293" s="72">
        <v>2013</v>
      </c>
      <c r="D293" s="1">
        <f t="shared" si="74"/>
        <v>30.333333333333332</v>
      </c>
      <c r="E293" s="287"/>
      <c r="F293" s="287"/>
      <c r="I293" s="287"/>
      <c r="J293" s="287"/>
      <c r="K293" s="287"/>
      <c r="L293" s="287"/>
      <c r="M293" s="287"/>
      <c r="N293" s="267">
        <f t="shared" si="79"/>
        <v>91</v>
      </c>
      <c r="P293" s="96">
        <f t="shared" si="75"/>
        <v>91</v>
      </c>
      <c r="Q293" s="97">
        <f t="shared" si="80"/>
        <v>30.333333333333332</v>
      </c>
      <c r="R293" s="287"/>
      <c r="S293" s="201"/>
      <c r="T293" s="192"/>
      <c r="U293" s="183"/>
      <c r="V293" s="168"/>
      <c r="W293" s="50">
        <f>50</f>
        <v>50</v>
      </c>
      <c r="X293" s="50"/>
      <c r="Y293" s="215">
        <f t="shared" si="76"/>
        <v>41</v>
      </c>
      <c r="Z293" s="120"/>
      <c r="AA293" s="96">
        <f>AM293+S293+T293+U293+V293+W293+X293+Y293</f>
        <v>91</v>
      </c>
      <c r="AB293" s="97">
        <f>IF(C293=2017, AA293/3,AA293)+Z293</f>
        <v>91</v>
      </c>
      <c r="AC293" s="290"/>
      <c r="AD293" s="290"/>
      <c r="AE293" s="50"/>
      <c r="AF293" s="50">
        <f>0</f>
        <v>0</v>
      </c>
      <c r="AG293" s="50">
        <f>0+3+1</f>
        <v>4</v>
      </c>
      <c r="AH293" s="50">
        <f>AV293</f>
        <v>37</v>
      </c>
      <c r="AI293" s="120"/>
      <c r="AJ293" s="96">
        <f>SUM(AE293:AH293)</f>
        <v>41</v>
      </c>
      <c r="AK293" s="97">
        <f>IF(C293=2016, AJ293/3,AJ293)+AI293</f>
        <v>41</v>
      </c>
      <c r="AL293" s="22"/>
      <c r="AM293" s="287"/>
      <c r="AN293" s="287"/>
      <c r="AO293" s="287"/>
      <c r="AP293" s="287"/>
      <c r="AQ293" s="287">
        <f>21</f>
        <v>21</v>
      </c>
      <c r="AR293" s="287">
        <f>14+2</f>
        <v>16</v>
      </c>
      <c r="AS293" s="285"/>
      <c r="AT293" s="95"/>
      <c r="AU293" s="96">
        <f t="shared" si="77"/>
        <v>37</v>
      </c>
      <c r="AV293" s="97">
        <f t="shared" si="78"/>
        <v>37</v>
      </c>
    </row>
    <row r="294" spans="1:48" x14ac:dyDescent="0.25">
      <c r="A294" s="11" t="s">
        <v>97</v>
      </c>
      <c r="B294" s="60" t="s">
        <v>64</v>
      </c>
      <c r="C294" s="62">
        <v>2011</v>
      </c>
      <c r="D294" s="1">
        <f t="shared" si="74"/>
        <v>113</v>
      </c>
      <c r="N294" s="267">
        <f t="shared" si="79"/>
        <v>113</v>
      </c>
      <c r="P294" s="96">
        <f t="shared" si="75"/>
        <v>113</v>
      </c>
      <c r="Q294" s="97">
        <f t="shared" si="80"/>
        <v>113</v>
      </c>
      <c r="S294" s="201"/>
      <c r="T294" s="192"/>
      <c r="U294" s="183"/>
      <c r="V294" s="168"/>
      <c r="W294" s="50">
        <f>9+3</f>
        <v>12</v>
      </c>
      <c r="X294" s="50">
        <f>24</f>
        <v>24</v>
      </c>
      <c r="Y294" s="215">
        <f t="shared" si="76"/>
        <v>71</v>
      </c>
      <c r="Z294" s="120">
        <f>6</f>
        <v>6</v>
      </c>
      <c r="AA294" s="96">
        <f>S294+T294+U294+V294+W294+X294+Y294</f>
        <v>107</v>
      </c>
      <c r="AB294" s="97">
        <f>IF(C294=2012, AA294/3,AA294)+Z294</f>
        <v>113</v>
      </c>
      <c r="AC294" s="287"/>
      <c r="AD294" s="287"/>
      <c r="AE294" s="50"/>
      <c r="AF294" s="50">
        <f>162</f>
        <v>162</v>
      </c>
      <c r="AG294" s="50">
        <f>0</f>
        <v>0</v>
      </c>
      <c r="AH294" s="50">
        <f>AV294</f>
        <v>33</v>
      </c>
      <c r="AI294" s="120">
        <f>6</f>
        <v>6</v>
      </c>
      <c r="AJ294" s="96">
        <f>SUM(AD294:AH294)</f>
        <v>195</v>
      </c>
      <c r="AK294" s="97">
        <f>IF(C294=2011, AJ294/3,AJ294)+AI294</f>
        <v>71</v>
      </c>
      <c r="AL294" s="22"/>
      <c r="AM294" s="267"/>
      <c r="AN294" s="267">
        <v>18</v>
      </c>
      <c r="AO294" s="267"/>
      <c r="AP294" s="267"/>
      <c r="AQ294" s="267"/>
      <c r="AR294" s="267"/>
      <c r="AS294" s="265">
        <f>15</f>
        <v>15</v>
      </c>
      <c r="AT294" s="95"/>
      <c r="AU294" s="96">
        <f t="shared" si="77"/>
        <v>33</v>
      </c>
      <c r="AV294" s="97">
        <f t="shared" si="78"/>
        <v>33</v>
      </c>
    </row>
    <row r="295" spans="1:48" x14ac:dyDescent="0.25">
      <c r="A295" s="60" t="s">
        <v>749</v>
      </c>
      <c r="B295" s="65" t="s">
        <v>63</v>
      </c>
      <c r="C295" s="62">
        <v>2010</v>
      </c>
      <c r="D295" s="1">
        <f t="shared" si="74"/>
        <v>26</v>
      </c>
      <c r="N295" s="267">
        <f t="shared" si="79"/>
        <v>26</v>
      </c>
      <c r="P295" s="96">
        <f t="shared" si="75"/>
        <v>26</v>
      </c>
      <c r="Q295" s="97">
        <f t="shared" si="80"/>
        <v>26</v>
      </c>
      <c r="S295" s="201"/>
      <c r="T295" s="192"/>
      <c r="U295" s="183">
        <f>3</f>
        <v>3</v>
      </c>
      <c r="V295" s="168">
        <f>10+2</f>
        <v>12</v>
      </c>
      <c r="W295" s="50"/>
      <c r="X295" s="50">
        <f>8+3</f>
        <v>11</v>
      </c>
      <c r="Y295" s="215">
        <f t="shared" si="76"/>
        <v>0</v>
      </c>
      <c r="Z295" s="120"/>
      <c r="AA295" s="96">
        <f>S295+T295+U295+V295+W295+X295+Y295</f>
        <v>26</v>
      </c>
      <c r="AB295" s="97">
        <f>IF(C295=2012, AA295/3,AA295)+Z295</f>
        <v>26</v>
      </c>
      <c r="AC295" s="22"/>
      <c r="AD295" s="256">
        <f>0</f>
        <v>0</v>
      </c>
      <c r="AE295" s="50"/>
      <c r="AF295" s="50"/>
      <c r="AG295" s="50"/>
      <c r="AH295" s="50"/>
      <c r="AI295" s="120"/>
      <c r="AJ295" s="96">
        <f>SUM(AD295:AH295)</f>
        <v>0</v>
      </c>
      <c r="AK295" s="97">
        <f>IF(C295=2011, AJ295/3,AJ295)+AI295</f>
        <v>0</v>
      </c>
      <c r="AL295" s="22"/>
      <c r="AT295" s="95"/>
      <c r="AU295" s="96"/>
      <c r="AV295" s="97"/>
    </row>
    <row r="296" spans="1:48" x14ac:dyDescent="0.25">
      <c r="A296" s="60" t="s">
        <v>807</v>
      </c>
      <c r="B296" s="65" t="s">
        <v>583</v>
      </c>
      <c r="C296" s="62">
        <v>2011</v>
      </c>
      <c r="D296" s="1">
        <f t="shared" si="74"/>
        <v>12</v>
      </c>
      <c r="I296" s="287"/>
      <c r="J296" s="287"/>
      <c r="K296" s="287"/>
      <c r="L296" s="287"/>
      <c r="M296" s="287"/>
      <c r="N296" s="267">
        <f t="shared" si="79"/>
        <v>12</v>
      </c>
      <c r="P296" s="96">
        <f t="shared" si="75"/>
        <v>12</v>
      </c>
      <c r="Q296" s="97">
        <f t="shared" si="80"/>
        <v>12</v>
      </c>
      <c r="R296" s="287"/>
      <c r="S296" s="201"/>
      <c r="T296" s="192"/>
      <c r="U296" s="183"/>
      <c r="V296" s="168"/>
      <c r="W296" s="50"/>
      <c r="X296" s="50">
        <f>12</f>
        <v>12</v>
      </c>
      <c r="Y296" s="215">
        <f t="shared" si="76"/>
        <v>0</v>
      </c>
      <c r="Z296" s="120"/>
      <c r="AA296" s="96">
        <f>S296+T296+U296+V296+W296+X296+Y296</f>
        <v>12</v>
      </c>
      <c r="AB296" s="97">
        <f>IF(C296=2012, AA296/3,AA296)+Z296</f>
        <v>12</v>
      </c>
      <c r="AC296" s="22"/>
      <c r="AD296" s="287"/>
      <c r="AE296" s="50"/>
      <c r="AF296" s="50"/>
      <c r="AG296" s="50"/>
      <c r="AH296" s="50"/>
      <c r="AI296" s="120"/>
      <c r="AJ296" s="96">
        <f>SUM(AD296:AH296)</f>
        <v>0</v>
      </c>
      <c r="AK296" s="97"/>
      <c r="AL296" s="22"/>
      <c r="AT296" s="95"/>
      <c r="AU296" s="96"/>
      <c r="AV296" s="97"/>
    </row>
    <row r="297" spans="1:48" x14ac:dyDescent="0.25">
      <c r="A297" s="60" t="s">
        <v>979</v>
      </c>
      <c r="B297" s="65" t="s">
        <v>938</v>
      </c>
      <c r="C297" s="62">
        <v>2010</v>
      </c>
      <c r="D297" s="1">
        <f t="shared" si="74"/>
        <v>2</v>
      </c>
      <c r="N297" s="267">
        <f t="shared" si="79"/>
        <v>2</v>
      </c>
      <c r="P297" s="96">
        <f t="shared" si="75"/>
        <v>2</v>
      </c>
      <c r="Q297" s="97">
        <f t="shared" si="80"/>
        <v>2</v>
      </c>
      <c r="S297" s="201"/>
      <c r="T297" s="192">
        <f>0+2</f>
        <v>2</v>
      </c>
      <c r="U297" s="183"/>
      <c r="V297" s="168"/>
      <c r="W297" s="50"/>
      <c r="X297" s="50"/>
      <c r="Y297" s="215">
        <f t="shared" si="76"/>
        <v>0</v>
      </c>
      <c r="Z297" s="120"/>
      <c r="AA297" s="96">
        <f>S297+T297+U297+V297+W297+X297+Y297</f>
        <v>2</v>
      </c>
      <c r="AB297" s="97">
        <f>IF(C297=2012, AA297/3,AA297)+Z297</f>
        <v>2</v>
      </c>
      <c r="AC297" s="22"/>
      <c r="AD297" s="287"/>
      <c r="AE297" s="50"/>
      <c r="AF297" s="50"/>
      <c r="AG297" s="50"/>
      <c r="AH297" s="50"/>
      <c r="AI297" s="120"/>
      <c r="AJ297" s="96">
        <f>SUM(AD297:AH297)</f>
        <v>0</v>
      </c>
      <c r="AK297" s="97">
        <f>IF(C297=2011, AJ297/3,AJ297)+AI297</f>
        <v>0</v>
      </c>
      <c r="AL297" s="22"/>
      <c r="AT297" s="95"/>
      <c r="AU297" s="96"/>
      <c r="AV297" s="97"/>
    </row>
    <row r="298" spans="1:48" ht="14.25" customHeight="1" x14ac:dyDescent="0.25">
      <c r="A298" s="11" t="s">
        <v>46</v>
      </c>
      <c r="B298" s="11" t="s">
        <v>40</v>
      </c>
      <c r="C298" s="3">
        <v>2013</v>
      </c>
      <c r="D298" s="1">
        <f t="shared" si="74"/>
        <v>2.6666666666666665</v>
      </c>
      <c r="E298" s="154"/>
      <c r="F298" s="154"/>
      <c r="I298" s="267"/>
      <c r="J298" s="267"/>
      <c r="K298" s="267"/>
      <c r="L298" s="267"/>
      <c r="M298" s="267"/>
      <c r="N298" s="267">
        <f t="shared" si="79"/>
        <v>8</v>
      </c>
      <c r="P298" s="96">
        <f t="shared" si="75"/>
        <v>8</v>
      </c>
      <c r="Q298" s="97">
        <f t="shared" si="80"/>
        <v>2.6666666666666665</v>
      </c>
      <c r="R298" s="267"/>
      <c r="S298" s="201"/>
      <c r="T298" s="192"/>
      <c r="U298" s="183"/>
      <c r="V298" s="168"/>
      <c r="W298" s="50"/>
      <c r="X298" s="50"/>
      <c r="Y298" s="215">
        <f t="shared" si="76"/>
        <v>4</v>
      </c>
      <c r="Z298" s="120"/>
      <c r="AA298" s="96">
        <f>AM298+S298+T298+U298+V298+W298+X298+Y298</f>
        <v>8</v>
      </c>
      <c r="AB298" s="97">
        <f>IF(C298=2017, AA298/3,AA298)+Z298</f>
        <v>8</v>
      </c>
      <c r="AC298" s="290"/>
      <c r="AD298" s="290"/>
      <c r="AE298" s="50"/>
      <c r="AF298" s="50"/>
      <c r="AG298" s="50"/>
      <c r="AH298" s="50">
        <f>AV298</f>
        <v>4</v>
      </c>
      <c r="AI298" s="120"/>
      <c r="AJ298" s="96">
        <f>SUM(AE298:AH298)</f>
        <v>4</v>
      </c>
      <c r="AK298" s="97">
        <f>IF(C298=2016, AJ298/3,AJ298)+AI298</f>
        <v>4</v>
      </c>
      <c r="AL298" s="22"/>
      <c r="AM298" s="267">
        <v>4</v>
      </c>
      <c r="AN298" s="267"/>
      <c r="AO298" s="267"/>
      <c r="AP298" s="267"/>
      <c r="AQ298" s="267"/>
      <c r="AR298" s="267"/>
      <c r="AS298" s="265"/>
      <c r="AT298" s="95"/>
      <c r="AU298" s="96">
        <f>SUM(AM298:AS298)</f>
        <v>4</v>
      </c>
      <c r="AV298" s="97">
        <f>IF(C298=2015, AU298/3,AU298)+AT298</f>
        <v>4</v>
      </c>
    </row>
    <row r="299" spans="1:48" x14ac:dyDescent="0.25">
      <c r="A299" s="60" t="s">
        <v>977</v>
      </c>
      <c r="B299" s="65" t="s">
        <v>63</v>
      </c>
      <c r="C299" s="62">
        <v>2010</v>
      </c>
      <c r="D299" s="1">
        <f t="shared" si="74"/>
        <v>0</v>
      </c>
      <c r="I299" s="267"/>
      <c r="J299" s="267"/>
      <c r="K299" s="267"/>
      <c r="L299" s="267"/>
      <c r="M299" s="267"/>
      <c r="N299" s="267">
        <f t="shared" si="79"/>
        <v>0</v>
      </c>
      <c r="P299" s="96">
        <f t="shared" si="75"/>
        <v>0</v>
      </c>
      <c r="Q299" s="97">
        <f t="shared" si="80"/>
        <v>0</v>
      </c>
      <c r="R299" s="267"/>
      <c r="S299" s="201">
        <f>0</f>
        <v>0</v>
      </c>
      <c r="T299" s="192">
        <f>0</f>
        <v>0</v>
      </c>
      <c r="U299" s="183"/>
      <c r="V299" s="168"/>
      <c r="W299" s="50"/>
      <c r="X299" s="50"/>
      <c r="Y299" s="215">
        <f t="shared" si="76"/>
        <v>0</v>
      </c>
      <c r="Z299" s="120"/>
      <c r="AA299" s="96">
        <f>S299+T299+U299+V299+W299+X299+Y299</f>
        <v>0</v>
      </c>
      <c r="AB299" s="97">
        <f>IF(C299=2012, AA299/3,AA299)+Z299</f>
        <v>0</v>
      </c>
      <c r="AC299" s="22"/>
      <c r="AD299" s="267"/>
      <c r="AE299" s="50"/>
      <c r="AF299" s="50"/>
      <c r="AG299" s="50"/>
      <c r="AH299" s="50"/>
      <c r="AI299" s="120"/>
      <c r="AJ299" s="96">
        <f>SUM(AD299:AH299)</f>
        <v>0</v>
      </c>
      <c r="AK299" s="97">
        <f>IF(C299=2011, AJ299/3,AJ299)+AI299</f>
        <v>0</v>
      </c>
      <c r="AL299" s="22"/>
      <c r="AT299" s="95"/>
      <c r="AU299" s="96"/>
      <c r="AV299" s="97"/>
    </row>
    <row r="300" spans="1:48" x14ac:dyDescent="0.25">
      <c r="A300" s="71" t="s">
        <v>602</v>
      </c>
      <c r="B300" s="71" t="s">
        <v>1336</v>
      </c>
      <c r="C300" s="72">
        <v>2012</v>
      </c>
      <c r="D300" s="1">
        <f t="shared" si="74"/>
        <v>165</v>
      </c>
      <c r="E300" s="283">
        <f>63</f>
        <v>63</v>
      </c>
      <c r="I300" s="261">
        <f>51+3</f>
        <v>54</v>
      </c>
      <c r="L300" s="231">
        <f>9+12</f>
        <v>21</v>
      </c>
      <c r="M300" s="231">
        <f>10+9</f>
        <v>19</v>
      </c>
      <c r="N300" s="267">
        <f t="shared" si="79"/>
        <v>27</v>
      </c>
      <c r="P300" s="96">
        <f t="shared" si="75"/>
        <v>102</v>
      </c>
      <c r="Q300" s="97">
        <f t="shared" si="80"/>
        <v>102</v>
      </c>
      <c r="R300" s="231"/>
      <c r="S300" s="201"/>
      <c r="T300" s="192"/>
      <c r="U300" s="183"/>
      <c r="V300" s="168"/>
      <c r="W300" s="50"/>
      <c r="X300" s="50"/>
      <c r="Y300" s="215">
        <f t="shared" si="76"/>
        <v>81</v>
      </c>
      <c r="Z300" s="152"/>
      <c r="AA300" s="96">
        <f>S300+T300+U300+V300+W300+X300+Y300</f>
        <v>81</v>
      </c>
      <c r="AB300" s="97">
        <f>IF(C300=2012, AA300/3,AA300)+Z300</f>
        <v>27</v>
      </c>
      <c r="AC300" s="290"/>
      <c r="AD300" s="290"/>
      <c r="AE300" s="50">
        <f>30</f>
        <v>30</v>
      </c>
      <c r="AF300" s="50">
        <f>51</f>
        <v>51</v>
      </c>
      <c r="AG300" s="50"/>
      <c r="AH300" s="50"/>
      <c r="AI300" s="120"/>
      <c r="AJ300" s="96">
        <f>SUM(AD300:AH300)</f>
        <v>81</v>
      </c>
      <c r="AK300" s="97">
        <f>IF(C300=2011, AJ300/3,AJ300)+AI300</f>
        <v>81</v>
      </c>
      <c r="AL300" s="22"/>
      <c r="AM300" s="256"/>
      <c r="AN300" s="256"/>
      <c r="AO300" s="256"/>
      <c r="AP300" s="256"/>
      <c r="AQ300" s="256"/>
      <c r="AR300" s="256"/>
      <c r="AS300" s="265"/>
      <c r="AT300" s="95"/>
      <c r="AU300" s="96">
        <f>SUM(AM300:AS300)</f>
        <v>0</v>
      </c>
      <c r="AV300" s="97">
        <f>IF(C300=2015, AU300/3,AU300)+AT300</f>
        <v>0</v>
      </c>
    </row>
    <row r="301" spans="1:48" x14ac:dyDescent="0.25">
      <c r="A301" s="60" t="s">
        <v>922</v>
      </c>
      <c r="B301" s="11" t="s">
        <v>994</v>
      </c>
      <c r="C301" s="62">
        <v>2011</v>
      </c>
      <c r="D301" s="1">
        <f t="shared" si="74"/>
        <v>17</v>
      </c>
      <c r="L301" s="231"/>
      <c r="M301" s="231">
        <f>18+3</f>
        <v>21</v>
      </c>
      <c r="N301" s="267">
        <f t="shared" si="79"/>
        <v>17</v>
      </c>
      <c r="P301" s="96">
        <f t="shared" si="75"/>
        <v>17</v>
      </c>
      <c r="Q301" s="97">
        <f t="shared" si="80"/>
        <v>17</v>
      </c>
      <c r="R301" s="231"/>
      <c r="S301" s="201">
        <f>10+4</f>
        <v>14</v>
      </c>
      <c r="T301" s="192"/>
      <c r="U301" s="183">
        <f>0+3</f>
        <v>3</v>
      </c>
      <c r="V301" s="168"/>
      <c r="W301" s="50"/>
      <c r="X301" s="50"/>
      <c r="Y301" s="215">
        <f t="shared" si="76"/>
        <v>0</v>
      </c>
      <c r="Z301" s="120"/>
      <c r="AA301" s="96">
        <f>S301+T301+U301+V301+W301+X301+Y301</f>
        <v>17</v>
      </c>
      <c r="AB301" s="97">
        <f>IF(C301=2012, AA301/3,AA301)+Z301</f>
        <v>17</v>
      </c>
      <c r="AC301" s="22"/>
      <c r="AD301" s="256"/>
      <c r="AE301" s="50"/>
      <c r="AF301" s="50"/>
      <c r="AG301" s="50"/>
      <c r="AH301" s="50"/>
      <c r="AI301" s="120"/>
      <c r="AJ301" s="96">
        <f>SUM(AD301:AH301)</f>
        <v>0</v>
      </c>
      <c r="AK301" s="97">
        <f>IF(C301=2011, AJ301/3,AJ301)+AI301</f>
        <v>0</v>
      </c>
      <c r="AL301" s="22"/>
      <c r="AT301" s="95"/>
      <c r="AU301" s="96"/>
      <c r="AV301" s="97"/>
    </row>
    <row r="302" spans="1:48" x14ac:dyDescent="0.25">
      <c r="A302" s="71" t="s">
        <v>683</v>
      </c>
      <c r="B302" s="71" t="s">
        <v>547</v>
      </c>
      <c r="C302" s="72">
        <v>2013</v>
      </c>
      <c r="D302" s="1">
        <f t="shared" si="74"/>
        <v>9.3333333333333339</v>
      </c>
      <c r="L302" s="231"/>
      <c r="M302" s="231"/>
      <c r="N302" s="267">
        <f t="shared" si="79"/>
        <v>28</v>
      </c>
      <c r="P302" s="96">
        <f t="shared" si="75"/>
        <v>28</v>
      </c>
      <c r="Q302" s="97">
        <f t="shared" si="80"/>
        <v>9.3333333333333339</v>
      </c>
      <c r="R302" s="231"/>
      <c r="S302" s="201"/>
      <c r="T302" s="192"/>
      <c r="U302" s="183"/>
      <c r="V302" s="168"/>
      <c r="W302" s="50"/>
      <c r="X302" s="50"/>
      <c r="Y302" s="215">
        <f t="shared" si="76"/>
        <v>28</v>
      </c>
      <c r="Z302" s="152"/>
      <c r="AA302" s="96">
        <f>AM302+S302+T302+U302+V302+W302+X302+Y302</f>
        <v>28</v>
      </c>
      <c r="AB302" s="97">
        <f>IF(C302=2017, AA302/3,AA302)+Z302</f>
        <v>28</v>
      </c>
      <c r="AC302" s="290"/>
      <c r="AD302" s="290"/>
      <c r="AE302" s="50">
        <f>28</f>
        <v>28</v>
      </c>
      <c r="AF302" s="50"/>
      <c r="AG302" s="50"/>
      <c r="AH302" s="50"/>
      <c r="AI302" s="120"/>
      <c r="AJ302" s="96">
        <f>SUM(AE302:AH302)</f>
        <v>28</v>
      </c>
      <c r="AK302" s="97">
        <f>IF(C302=2016, AJ302/3,AJ302)+AI302</f>
        <v>28</v>
      </c>
      <c r="AL302" s="22"/>
      <c r="AM302" s="267"/>
      <c r="AN302" s="267"/>
      <c r="AO302" s="267"/>
      <c r="AP302" s="267"/>
      <c r="AQ302" s="267"/>
      <c r="AR302" s="267"/>
      <c r="AS302" s="265"/>
      <c r="AT302" s="95"/>
      <c r="AU302" s="96">
        <f>SUM(AM302:AS302)</f>
        <v>0</v>
      </c>
      <c r="AV302" s="97">
        <f>IF(C302=2015, AU302/3,AU302)+AT302</f>
        <v>0</v>
      </c>
    </row>
    <row r="303" spans="1:48" x14ac:dyDescent="0.25">
      <c r="A303" s="71" t="s">
        <v>1393</v>
      </c>
      <c r="B303" s="71" t="s">
        <v>1336</v>
      </c>
      <c r="C303" s="72">
        <v>2011</v>
      </c>
      <c r="D303" s="1">
        <f t="shared" si="74"/>
        <v>221.33333333333334</v>
      </c>
      <c r="E303" s="283">
        <f>24</f>
        <v>24</v>
      </c>
      <c r="F303" s="278">
        <f>15</f>
        <v>15</v>
      </c>
      <c r="I303" s="261">
        <f>69+3</f>
        <v>72</v>
      </c>
      <c r="L303" s="231">
        <f>18+12</f>
        <v>30</v>
      </c>
      <c r="M303" s="231">
        <f>8+9</f>
        <v>17</v>
      </c>
      <c r="N303" s="267">
        <f t="shared" si="79"/>
        <v>95.333333333333343</v>
      </c>
      <c r="P303" s="96">
        <f t="shared" si="75"/>
        <v>197.33333333333334</v>
      </c>
      <c r="Q303" s="97">
        <f t="shared" si="80"/>
        <v>197.33333333333334</v>
      </c>
      <c r="R303" s="231"/>
      <c r="S303" s="201"/>
      <c r="T303" s="192"/>
      <c r="U303" s="183"/>
      <c r="V303" s="168"/>
      <c r="W303" s="50"/>
      <c r="X303" s="50">
        <f>40</f>
        <v>40</v>
      </c>
      <c r="Y303" s="215">
        <f t="shared" si="76"/>
        <v>55.333333333333336</v>
      </c>
      <c r="Z303" s="120"/>
      <c r="AA303" s="96">
        <f>S303+T303+U303+V303+W303+X303+Y303</f>
        <v>95.333333333333343</v>
      </c>
      <c r="AB303" s="97">
        <f>IF(C303=2012, AA303/3,AA303)+Z303</f>
        <v>95.333333333333343</v>
      </c>
      <c r="AC303" s="287"/>
      <c r="AD303" s="287">
        <f>28</f>
        <v>28</v>
      </c>
      <c r="AE303" s="50">
        <f>45</f>
        <v>45</v>
      </c>
      <c r="AF303" s="50">
        <f>53</f>
        <v>53</v>
      </c>
      <c r="AG303" s="50">
        <f>40</f>
        <v>40</v>
      </c>
      <c r="AH303" s="50"/>
      <c r="AI303" s="120"/>
      <c r="AJ303" s="96">
        <f>SUM(AD303:AH303)</f>
        <v>166</v>
      </c>
      <c r="AK303" s="97">
        <f>IF(C303=2011, AJ303/3,AJ303)+AI303</f>
        <v>55.333333333333336</v>
      </c>
      <c r="AL303" s="22"/>
      <c r="AM303" s="267"/>
      <c r="AN303" s="267"/>
      <c r="AO303" s="267"/>
      <c r="AP303" s="267"/>
      <c r="AQ303" s="267"/>
      <c r="AR303" s="267"/>
      <c r="AS303" s="265"/>
      <c r="AT303" s="95"/>
      <c r="AU303" s="96"/>
      <c r="AV303" s="97"/>
    </row>
    <row r="304" spans="1:48" x14ac:dyDescent="0.25">
      <c r="A304" s="71" t="s">
        <v>758</v>
      </c>
      <c r="B304" s="71" t="s">
        <v>296</v>
      </c>
      <c r="C304" s="72">
        <v>2013</v>
      </c>
      <c r="D304" s="1">
        <f t="shared" si="74"/>
        <v>0</v>
      </c>
      <c r="N304" s="267">
        <f t="shared" si="79"/>
        <v>0</v>
      </c>
      <c r="P304" s="96">
        <f t="shared" si="75"/>
        <v>0</v>
      </c>
      <c r="Q304" s="97">
        <f t="shared" si="80"/>
        <v>0</v>
      </c>
      <c r="S304" s="201"/>
      <c r="T304" s="192"/>
      <c r="U304" s="183"/>
      <c r="V304" s="168"/>
      <c r="W304" s="50"/>
      <c r="X304" s="50">
        <f>0</f>
        <v>0</v>
      </c>
      <c r="Y304" s="215">
        <f t="shared" si="76"/>
        <v>0</v>
      </c>
      <c r="Z304" s="152"/>
      <c r="AA304" s="96">
        <f>AM304+S304+T304+U304+V304+W304+X304+Y304</f>
        <v>0</v>
      </c>
      <c r="AB304" s="97">
        <f>IF(C304=2017, AA304/3,AA304)+Z304</f>
        <v>0</v>
      </c>
      <c r="AC304" s="269"/>
      <c r="AD304" s="269"/>
      <c r="AE304" s="50"/>
      <c r="AF304" s="50"/>
      <c r="AG304" s="50"/>
      <c r="AH304" s="50"/>
      <c r="AI304" s="120"/>
      <c r="AJ304" s="96">
        <f>SUM(AE304:AH304)</f>
        <v>0</v>
      </c>
      <c r="AK304" s="97">
        <f>IF(C304=2016, AJ304/3,AJ304)+AI304</f>
        <v>0</v>
      </c>
      <c r="AL304" s="22"/>
      <c r="AM304" s="287"/>
      <c r="AN304" s="287"/>
      <c r="AO304" s="287"/>
      <c r="AP304" s="287"/>
      <c r="AQ304" s="287"/>
      <c r="AR304" s="287"/>
      <c r="AS304" s="285"/>
      <c r="AT304" s="95"/>
      <c r="AU304" s="96"/>
      <c r="AV304" s="97"/>
    </row>
    <row r="305" spans="1:67" x14ac:dyDescent="0.25">
      <c r="A305" s="60" t="s">
        <v>591</v>
      </c>
      <c r="B305" s="65" t="s">
        <v>583</v>
      </c>
      <c r="C305" s="62">
        <v>2010</v>
      </c>
      <c r="D305" s="1">
        <f t="shared" si="74"/>
        <v>3</v>
      </c>
      <c r="N305" s="267">
        <f t="shared" si="79"/>
        <v>3</v>
      </c>
      <c r="P305" s="96">
        <f t="shared" si="75"/>
        <v>3</v>
      </c>
      <c r="Q305" s="97">
        <f t="shared" si="80"/>
        <v>3</v>
      </c>
      <c r="S305" s="201"/>
      <c r="T305" s="192"/>
      <c r="U305" s="183"/>
      <c r="V305" s="168"/>
      <c r="W305" s="50"/>
      <c r="X305" s="50"/>
      <c r="Y305" s="215">
        <f t="shared" si="76"/>
        <v>3</v>
      </c>
      <c r="Z305" s="120"/>
      <c r="AA305" s="96">
        <f t="shared" ref="AA305:AA319" si="81">S305+T305+U305+V305+W305+X305+Y305</f>
        <v>3</v>
      </c>
      <c r="AB305" s="97">
        <f t="shared" ref="AB305:AB319" si="82">IF(C305=2012, AA305/3,AA305)+Z305</f>
        <v>3</v>
      </c>
      <c r="AC305" s="22"/>
      <c r="AD305" s="287"/>
      <c r="AE305" s="287"/>
      <c r="AF305" s="50"/>
      <c r="AG305" s="50">
        <f>3</f>
        <v>3</v>
      </c>
      <c r="AH305" s="50"/>
      <c r="AI305" s="120"/>
      <c r="AJ305" s="96">
        <f t="shared" ref="AJ305:AJ319" si="83">SUM(AD305:AH305)</f>
        <v>3</v>
      </c>
      <c r="AK305" s="97">
        <f t="shared" ref="AK305:AK310" si="84">IF(C305=2011, AJ305/3,AJ305)+AI305</f>
        <v>3</v>
      </c>
      <c r="AL305" s="22"/>
      <c r="AT305" s="95"/>
      <c r="AU305" s="96"/>
      <c r="AV305" s="97"/>
    </row>
    <row r="306" spans="1:67" x14ac:dyDescent="0.25">
      <c r="A306" s="71" t="s">
        <v>588</v>
      </c>
      <c r="B306" s="71" t="s">
        <v>583</v>
      </c>
      <c r="C306" s="72">
        <v>2011</v>
      </c>
      <c r="D306" s="1">
        <f t="shared" si="74"/>
        <v>6</v>
      </c>
      <c r="N306" s="267">
        <f t="shared" si="79"/>
        <v>6</v>
      </c>
      <c r="P306" s="96">
        <f t="shared" si="75"/>
        <v>6</v>
      </c>
      <c r="Q306" s="97">
        <f t="shared" si="80"/>
        <v>6</v>
      </c>
      <c r="S306" s="201"/>
      <c r="T306" s="192"/>
      <c r="U306" s="183"/>
      <c r="V306" s="168"/>
      <c r="W306" s="50"/>
      <c r="X306" s="50">
        <f>3</f>
        <v>3</v>
      </c>
      <c r="Y306" s="215">
        <f t="shared" si="76"/>
        <v>3</v>
      </c>
      <c r="Z306" s="120"/>
      <c r="AA306" s="96">
        <f t="shared" si="81"/>
        <v>6</v>
      </c>
      <c r="AB306" s="97">
        <f t="shared" si="82"/>
        <v>6</v>
      </c>
      <c r="AC306" s="287"/>
      <c r="AD306" s="287"/>
      <c r="AE306" s="50"/>
      <c r="AF306" s="50"/>
      <c r="AG306" s="50">
        <f>0</f>
        <v>0</v>
      </c>
      <c r="AH306" s="50"/>
      <c r="AI306" s="120">
        <f>3</f>
        <v>3</v>
      </c>
      <c r="AJ306" s="96">
        <f t="shared" si="83"/>
        <v>0</v>
      </c>
      <c r="AK306" s="97">
        <f t="shared" si="84"/>
        <v>3</v>
      </c>
      <c r="AL306" s="22"/>
      <c r="AM306" s="267"/>
      <c r="AN306" s="267"/>
      <c r="AO306" s="267"/>
      <c r="AP306" s="267"/>
      <c r="AQ306" s="267"/>
      <c r="AR306" s="267"/>
      <c r="AS306" s="265"/>
      <c r="AT306" s="95"/>
      <c r="AU306" s="96"/>
      <c r="AV306" s="97"/>
    </row>
    <row r="307" spans="1:67" x14ac:dyDescent="0.25">
      <c r="A307" s="60" t="s">
        <v>584</v>
      </c>
      <c r="B307" s="65" t="s">
        <v>583</v>
      </c>
      <c r="C307" s="62">
        <v>2010</v>
      </c>
      <c r="D307" s="1">
        <f t="shared" si="74"/>
        <v>6</v>
      </c>
      <c r="L307" s="231"/>
      <c r="M307" s="231"/>
      <c r="N307" s="267">
        <f t="shared" si="79"/>
        <v>6</v>
      </c>
      <c r="P307" s="96">
        <f t="shared" si="75"/>
        <v>6</v>
      </c>
      <c r="Q307" s="97">
        <f t="shared" si="80"/>
        <v>6</v>
      </c>
      <c r="R307" s="231"/>
      <c r="S307" s="201"/>
      <c r="T307" s="192"/>
      <c r="U307" s="183"/>
      <c r="V307" s="168"/>
      <c r="W307" s="50"/>
      <c r="X307" s="50">
        <f>3</f>
        <v>3</v>
      </c>
      <c r="Y307" s="215">
        <f t="shared" si="76"/>
        <v>3</v>
      </c>
      <c r="Z307" s="120"/>
      <c r="AA307" s="96">
        <f t="shared" si="81"/>
        <v>6</v>
      </c>
      <c r="AB307" s="97">
        <f t="shared" si="82"/>
        <v>6</v>
      </c>
      <c r="AC307" s="22"/>
      <c r="AD307" s="252"/>
      <c r="AE307" s="50"/>
      <c r="AF307" s="50"/>
      <c r="AG307" s="50">
        <f>3</f>
        <v>3</v>
      </c>
      <c r="AH307" s="50"/>
      <c r="AI307" s="120"/>
      <c r="AJ307" s="96">
        <f t="shared" si="83"/>
        <v>3</v>
      </c>
      <c r="AK307" s="97">
        <f t="shared" si="84"/>
        <v>3</v>
      </c>
      <c r="AL307" s="22"/>
      <c r="AT307" s="95"/>
      <c r="AU307" s="96"/>
      <c r="AV307" s="97"/>
    </row>
    <row r="308" spans="1:67" x14ac:dyDescent="0.25">
      <c r="A308" s="60" t="s">
        <v>668</v>
      </c>
      <c r="B308" s="65" t="s">
        <v>476</v>
      </c>
      <c r="C308" s="62"/>
      <c r="D308" s="1">
        <f t="shared" si="74"/>
        <v>4</v>
      </c>
      <c r="E308" s="108"/>
      <c r="F308" s="108"/>
      <c r="H308" s="101"/>
      <c r="N308" s="267">
        <f t="shared" si="79"/>
        <v>4</v>
      </c>
      <c r="P308" s="96">
        <f t="shared" si="75"/>
        <v>4</v>
      </c>
      <c r="Q308" s="97">
        <f t="shared" si="80"/>
        <v>4</v>
      </c>
      <c r="S308" s="201"/>
      <c r="T308" s="192"/>
      <c r="U308" s="183"/>
      <c r="V308" s="168"/>
      <c r="W308" s="50"/>
      <c r="X308" s="50"/>
      <c r="Y308" s="215">
        <f t="shared" si="76"/>
        <v>4</v>
      </c>
      <c r="Z308" s="120"/>
      <c r="AA308" s="96">
        <f t="shared" si="81"/>
        <v>4</v>
      </c>
      <c r="AB308" s="97">
        <f t="shared" si="82"/>
        <v>4</v>
      </c>
      <c r="AC308" s="22"/>
      <c r="AD308" s="256"/>
      <c r="AE308" s="50"/>
      <c r="AF308" s="50">
        <f>4</f>
        <v>4</v>
      </c>
      <c r="AG308" s="50"/>
      <c r="AH308" s="50"/>
      <c r="AI308" s="120"/>
      <c r="AJ308" s="96">
        <f t="shared" si="83"/>
        <v>4</v>
      </c>
      <c r="AK308" s="97">
        <f t="shared" si="84"/>
        <v>4</v>
      </c>
      <c r="AL308" s="22"/>
      <c r="AT308" s="95"/>
      <c r="AU308" s="96"/>
      <c r="AV308" s="97"/>
    </row>
    <row r="309" spans="1:67" x14ac:dyDescent="0.25">
      <c r="A309" s="45" t="s">
        <v>553</v>
      </c>
      <c r="B309" s="66" t="s">
        <v>547</v>
      </c>
      <c r="C309" s="46">
        <v>2012</v>
      </c>
      <c r="D309" s="1">
        <f t="shared" si="74"/>
        <v>83.333333333333329</v>
      </c>
      <c r="E309" s="108"/>
      <c r="F309" s="108"/>
      <c r="H309" s="101"/>
      <c r="J309" s="252"/>
      <c r="K309" s="252"/>
      <c r="L309" s="252"/>
      <c r="M309" s="252"/>
      <c r="N309" s="267">
        <f t="shared" si="79"/>
        <v>83.333333333333329</v>
      </c>
      <c r="P309" s="96">
        <f t="shared" si="75"/>
        <v>83.333333333333329</v>
      </c>
      <c r="Q309" s="97">
        <f t="shared" si="80"/>
        <v>83.333333333333329</v>
      </c>
      <c r="R309" s="252"/>
      <c r="W309" s="154">
        <f>72+18+6</f>
        <v>96</v>
      </c>
      <c r="X309" s="154">
        <f>16+4</f>
        <v>20</v>
      </c>
      <c r="Y309" s="215">
        <f t="shared" si="76"/>
        <v>134</v>
      </c>
      <c r="Z309" s="152"/>
      <c r="AA309" s="96">
        <f t="shared" si="81"/>
        <v>250</v>
      </c>
      <c r="AB309" s="97">
        <f t="shared" si="82"/>
        <v>83.333333333333329</v>
      </c>
      <c r="AC309" s="290"/>
      <c r="AD309" s="290"/>
      <c r="AE309" s="50">
        <f>32+33</f>
        <v>65</v>
      </c>
      <c r="AF309" s="50"/>
      <c r="AG309" s="50">
        <f>27+42</f>
        <v>69</v>
      </c>
      <c r="AH309" s="50"/>
      <c r="AI309" s="120"/>
      <c r="AJ309" s="96">
        <f t="shared" si="83"/>
        <v>134</v>
      </c>
      <c r="AK309" s="97">
        <f t="shared" si="84"/>
        <v>134</v>
      </c>
      <c r="AL309" s="101"/>
      <c r="AM309" s="151"/>
      <c r="AN309" s="151"/>
      <c r="AO309" s="151"/>
      <c r="AP309" s="151"/>
      <c r="AQ309" s="151"/>
      <c r="AR309" s="151"/>
      <c r="AS309" s="286"/>
      <c r="AT309" s="95"/>
      <c r="AU309" s="96">
        <f>SUM(AM309:AS309)</f>
        <v>0</v>
      </c>
      <c r="AV309" s="97">
        <f>IF(C309=2015, AU309/3,AU309)+AT309</f>
        <v>0</v>
      </c>
    </row>
    <row r="310" spans="1:67" x14ac:dyDescent="0.25">
      <c r="A310" s="71" t="s">
        <v>1024</v>
      </c>
      <c r="B310" s="71" t="s">
        <v>86</v>
      </c>
      <c r="C310" s="72">
        <v>2012</v>
      </c>
      <c r="D310" s="1">
        <f t="shared" si="74"/>
        <v>11</v>
      </c>
      <c r="E310" s="108"/>
      <c r="F310" s="108"/>
      <c r="H310" s="101"/>
      <c r="J310" s="252"/>
      <c r="K310" s="252"/>
      <c r="L310" s="252"/>
      <c r="M310" s="252"/>
      <c r="N310" s="267">
        <f t="shared" si="79"/>
        <v>11</v>
      </c>
      <c r="P310" s="96">
        <f t="shared" si="75"/>
        <v>11</v>
      </c>
      <c r="Q310" s="97">
        <f t="shared" si="80"/>
        <v>11</v>
      </c>
      <c r="R310" s="252"/>
      <c r="S310" s="201">
        <f>33</f>
        <v>33</v>
      </c>
      <c r="T310" s="192"/>
      <c r="U310" s="183"/>
      <c r="V310" s="168"/>
      <c r="W310" s="50"/>
      <c r="X310" s="50"/>
      <c r="Y310" s="215">
        <f t="shared" si="76"/>
        <v>0</v>
      </c>
      <c r="Z310" s="152"/>
      <c r="AA310" s="96">
        <f t="shared" si="81"/>
        <v>33</v>
      </c>
      <c r="AB310" s="97">
        <f t="shared" si="82"/>
        <v>11</v>
      </c>
      <c r="AE310" s="50"/>
      <c r="AF310" s="50"/>
      <c r="AG310" s="50"/>
      <c r="AH310" s="50"/>
      <c r="AI310" s="120"/>
      <c r="AJ310" s="96">
        <f t="shared" si="83"/>
        <v>0</v>
      </c>
      <c r="AK310" s="97">
        <f t="shared" si="84"/>
        <v>0</v>
      </c>
      <c r="AL310" s="22"/>
      <c r="AM310" s="287"/>
      <c r="AN310" s="287"/>
      <c r="AO310" s="287"/>
      <c r="AP310" s="287"/>
      <c r="AQ310" s="287"/>
      <c r="AR310" s="287"/>
      <c r="AS310" s="285"/>
      <c r="AT310" s="95"/>
      <c r="AU310" s="96"/>
      <c r="AV310" s="97"/>
    </row>
    <row r="311" spans="1:67" x14ac:dyDescent="0.25">
      <c r="A311" s="60" t="s">
        <v>809</v>
      </c>
      <c r="B311" s="65" t="s">
        <v>583</v>
      </c>
      <c r="C311" s="62">
        <v>2011</v>
      </c>
      <c r="D311" s="1">
        <f t="shared" si="74"/>
        <v>12</v>
      </c>
      <c r="J311" s="252"/>
      <c r="K311" s="252"/>
      <c r="L311" s="252"/>
      <c r="M311" s="252"/>
      <c r="N311" s="267">
        <f t="shared" si="79"/>
        <v>12</v>
      </c>
      <c r="P311" s="96">
        <f t="shared" si="75"/>
        <v>12</v>
      </c>
      <c r="Q311" s="97">
        <f t="shared" si="80"/>
        <v>12</v>
      </c>
      <c r="R311" s="252"/>
      <c r="S311" s="201"/>
      <c r="T311" s="192"/>
      <c r="U311" s="183"/>
      <c r="V311" s="168"/>
      <c r="W311" s="50"/>
      <c r="X311" s="50">
        <f>12</f>
        <v>12</v>
      </c>
      <c r="Y311" s="215">
        <f t="shared" si="76"/>
        <v>0</v>
      </c>
      <c r="Z311" s="120"/>
      <c r="AA311" s="96">
        <f t="shared" si="81"/>
        <v>12</v>
      </c>
      <c r="AB311" s="97">
        <f t="shared" si="82"/>
        <v>12</v>
      </c>
      <c r="AC311" s="22"/>
      <c r="AD311" s="50"/>
      <c r="AE311" s="50"/>
      <c r="AF311" s="50"/>
      <c r="AG311" s="50"/>
      <c r="AH311" s="50"/>
      <c r="AI311" s="120"/>
      <c r="AJ311" s="96">
        <f t="shared" si="83"/>
        <v>0</v>
      </c>
      <c r="AK311" s="97"/>
      <c r="AL311" s="22"/>
      <c r="AT311" s="95"/>
      <c r="AU311" s="96"/>
      <c r="AV311" s="97"/>
    </row>
    <row r="312" spans="1:67" x14ac:dyDescent="0.25">
      <c r="A312" s="11" t="s">
        <v>119</v>
      </c>
      <c r="B312" s="60" t="s">
        <v>86</v>
      </c>
      <c r="C312" s="62">
        <v>2012</v>
      </c>
      <c r="D312" s="1">
        <f t="shared" si="74"/>
        <v>24.333333333333332</v>
      </c>
      <c r="J312" s="256"/>
      <c r="K312" s="256"/>
      <c r="L312" s="256"/>
      <c r="M312" s="256"/>
      <c r="N312" s="267">
        <f t="shared" si="79"/>
        <v>24.333333333333332</v>
      </c>
      <c r="P312" s="96">
        <f t="shared" si="75"/>
        <v>24.333333333333332</v>
      </c>
      <c r="Q312" s="97">
        <f t="shared" si="80"/>
        <v>24.333333333333332</v>
      </c>
      <c r="R312" s="256"/>
      <c r="S312" s="201"/>
      <c r="T312" s="192"/>
      <c r="U312" s="183"/>
      <c r="V312" s="168"/>
      <c r="W312" s="50"/>
      <c r="X312" s="50"/>
      <c r="Y312" s="215">
        <f t="shared" si="76"/>
        <v>73</v>
      </c>
      <c r="Z312" s="120"/>
      <c r="AA312" s="96">
        <f t="shared" si="81"/>
        <v>73</v>
      </c>
      <c r="AB312" s="97">
        <f t="shared" si="82"/>
        <v>24.333333333333332</v>
      </c>
      <c r="AC312" s="257"/>
      <c r="AD312" s="257"/>
      <c r="AE312" s="50"/>
      <c r="AF312" s="50"/>
      <c r="AG312" s="50"/>
      <c r="AH312" s="50">
        <f>AV312</f>
        <v>73</v>
      </c>
      <c r="AI312" s="120"/>
      <c r="AJ312" s="96">
        <f t="shared" si="83"/>
        <v>73</v>
      </c>
      <c r="AK312" s="97">
        <f>IF(C312=2011, AJ312/3,AJ312)+AI312</f>
        <v>73</v>
      </c>
      <c r="AL312" s="22"/>
      <c r="AM312" s="41"/>
      <c r="AN312" s="41">
        <f>34+3</f>
        <v>37</v>
      </c>
      <c r="AO312" s="41"/>
      <c r="AP312" s="41">
        <f>36</f>
        <v>36</v>
      </c>
      <c r="AQ312" s="41"/>
      <c r="AR312" s="41"/>
      <c r="AT312" s="95"/>
      <c r="AU312" s="96">
        <f>SUM(AM312:AS312)</f>
        <v>73</v>
      </c>
      <c r="AV312" s="97">
        <f>IF(C312=2015, AU312/3,AU312)+AT312</f>
        <v>73</v>
      </c>
    </row>
    <row r="313" spans="1:67" x14ac:dyDescent="0.25">
      <c r="A313" s="11" t="s">
        <v>562</v>
      </c>
      <c r="B313" s="60" t="s">
        <v>563</v>
      </c>
      <c r="C313" s="62">
        <v>2011</v>
      </c>
      <c r="D313" s="1">
        <f t="shared" si="74"/>
        <v>14</v>
      </c>
      <c r="E313" s="208"/>
      <c r="F313" s="208"/>
      <c r="H313" s="101"/>
      <c r="I313" s="154"/>
      <c r="J313" s="154"/>
      <c r="K313" s="154"/>
      <c r="L313" s="154"/>
      <c r="M313" s="154"/>
      <c r="N313" s="267">
        <f t="shared" si="79"/>
        <v>14</v>
      </c>
      <c r="P313" s="96">
        <f t="shared" si="75"/>
        <v>14</v>
      </c>
      <c r="Q313" s="97">
        <f t="shared" si="80"/>
        <v>14</v>
      </c>
      <c r="R313" s="154"/>
      <c r="S313" s="201"/>
      <c r="T313" s="192"/>
      <c r="U313" s="183"/>
      <c r="V313" s="168"/>
      <c r="W313" s="50"/>
      <c r="X313" s="50"/>
      <c r="Y313" s="215">
        <f t="shared" si="76"/>
        <v>14</v>
      </c>
      <c r="Z313" s="120"/>
      <c r="AA313" s="96">
        <f t="shared" si="81"/>
        <v>14</v>
      </c>
      <c r="AB313" s="97">
        <f t="shared" si="82"/>
        <v>14</v>
      </c>
      <c r="AC313" s="287"/>
      <c r="AD313" s="287"/>
      <c r="AE313" s="50"/>
      <c r="AF313" s="50"/>
      <c r="AG313" s="50">
        <f>32+10</f>
        <v>42</v>
      </c>
      <c r="AH313" s="50"/>
      <c r="AI313" s="120"/>
      <c r="AJ313" s="96">
        <f t="shared" si="83"/>
        <v>42</v>
      </c>
      <c r="AK313" s="97">
        <f>IF(C313=2011, AJ313/3,AJ313)+AI313</f>
        <v>14</v>
      </c>
      <c r="AL313" s="22"/>
      <c r="AM313" s="41"/>
      <c r="AN313" s="41"/>
      <c r="AO313" s="41"/>
      <c r="AP313" s="41"/>
      <c r="AQ313" s="41"/>
      <c r="AR313" s="41"/>
      <c r="AT313" s="95"/>
      <c r="AU313" s="96"/>
      <c r="AV313" s="97"/>
    </row>
    <row r="314" spans="1:67" x14ac:dyDescent="0.25">
      <c r="A314" s="11" t="s">
        <v>467</v>
      </c>
      <c r="B314" s="60" t="s">
        <v>1336</v>
      </c>
      <c r="C314" s="62">
        <v>2010</v>
      </c>
      <c r="D314" s="1">
        <f t="shared" si="74"/>
        <v>39</v>
      </c>
      <c r="F314" s="278">
        <f>9</f>
        <v>9</v>
      </c>
      <c r="I314" s="261">
        <f>24</f>
        <v>24</v>
      </c>
      <c r="J314" s="256"/>
      <c r="K314" s="256"/>
      <c r="L314" s="256"/>
      <c r="M314" s="256"/>
      <c r="N314" s="267">
        <f t="shared" si="79"/>
        <v>15</v>
      </c>
      <c r="P314" s="96">
        <f t="shared" si="75"/>
        <v>39</v>
      </c>
      <c r="Q314" s="97">
        <f t="shared" si="80"/>
        <v>39</v>
      </c>
      <c r="R314" s="256"/>
      <c r="S314" s="201"/>
      <c r="T314" s="192"/>
      <c r="U314" s="183"/>
      <c r="V314" s="168"/>
      <c r="W314" s="50"/>
      <c r="X314" s="50"/>
      <c r="Y314" s="215">
        <f t="shared" si="76"/>
        <v>15</v>
      </c>
      <c r="Z314" s="120"/>
      <c r="AA314" s="96">
        <f t="shared" si="81"/>
        <v>15</v>
      </c>
      <c r="AB314" s="97">
        <f t="shared" si="82"/>
        <v>15</v>
      </c>
      <c r="AC314" s="22"/>
      <c r="AD314" s="287"/>
      <c r="AE314" s="50"/>
      <c r="AF314" s="50"/>
      <c r="AG314" s="50"/>
      <c r="AH314" s="50">
        <f>AV314</f>
        <v>15</v>
      </c>
      <c r="AI314" s="120"/>
      <c r="AJ314" s="96">
        <f t="shared" si="83"/>
        <v>15</v>
      </c>
      <c r="AK314" s="97">
        <f>IF(C314=2011, AJ314/3,AJ314)+AI314</f>
        <v>15</v>
      </c>
      <c r="AL314" s="22"/>
      <c r="AM314" s="41"/>
      <c r="AN314" s="41"/>
      <c r="AO314" s="41"/>
      <c r="AP314" s="41"/>
      <c r="AQ314" s="41"/>
      <c r="AR314" s="41">
        <f>45</f>
        <v>45</v>
      </c>
      <c r="AT314" s="95"/>
      <c r="AU314" s="96">
        <f>SUM(AM314:AS314)</f>
        <v>45</v>
      </c>
      <c r="AV314" s="97">
        <f>IF(C314=2010, AU314/3,AU314)+AT314</f>
        <v>15</v>
      </c>
    </row>
    <row r="315" spans="1:67" x14ac:dyDescent="0.25">
      <c r="A315" s="11" t="s">
        <v>382</v>
      </c>
      <c r="B315" s="60" t="s">
        <v>378</v>
      </c>
      <c r="C315" s="62">
        <v>2010</v>
      </c>
      <c r="D315" s="1">
        <f t="shared" si="74"/>
        <v>1</v>
      </c>
      <c r="E315" s="287"/>
      <c r="F315" s="287"/>
      <c r="J315" s="256"/>
      <c r="K315" s="256"/>
      <c r="L315" s="256"/>
      <c r="M315" s="256"/>
      <c r="N315" s="267">
        <f t="shared" si="79"/>
        <v>1</v>
      </c>
      <c r="P315" s="96">
        <f t="shared" si="75"/>
        <v>1</v>
      </c>
      <c r="Q315" s="97">
        <f t="shared" si="80"/>
        <v>1</v>
      </c>
      <c r="R315" s="256"/>
      <c r="S315" s="201"/>
      <c r="T315" s="192"/>
      <c r="U315" s="183"/>
      <c r="V315" s="168"/>
      <c r="W315" s="168"/>
      <c r="X315" s="168"/>
      <c r="Y315" s="215">
        <f t="shared" si="76"/>
        <v>1</v>
      </c>
      <c r="Z315" s="120"/>
      <c r="AA315" s="96">
        <f t="shared" si="81"/>
        <v>1</v>
      </c>
      <c r="AB315" s="97">
        <f t="shared" si="82"/>
        <v>1</v>
      </c>
      <c r="AC315" s="22"/>
      <c r="AD315" s="287"/>
      <c r="AE315" s="168"/>
      <c r="AF315" s="168"/>
      <c r="AG315" s="168"/>
      <c r="AH315" s="168">
        <f>AV315</f>
        <v>1</v>
      </c>
      <c r="AI315" s="120"/>
      <c r="AJ315" s="96">
        <f t="shared" si="83"/>
        <v>1</v>
      </c>
      <c r="AK315" s="97">
        <f>IF(C315=2011, AJ315/3,AJ315)+AI315</f>
        <v>1</v>
      </c>
      <c r="AL315" s="22"/>
      <c r="AM315" s="41"/>
      <c r="AN315" s="41"/>
      <c r="AO315" s="41"/>
      <c r="AP315" s="41">
        <f>3</f>
        <v>3</v>
      </c>
      <c r="AQ315" s="41"/>
      <c r="AR315" s="41"/>
      <c r="AT315" s="95"/>
      <c r="AU315" s="96">
        <f>SUM(AM315:AS315)</f>
        <v>3</v>
      </c>
      <c r="AV315" s="97">
        <f>IF(C315=2010, AU315/3,AU315)+AT315</f>
        <v>1</v>
      </c>
    </row>
    <row r="316" spans="1:67" s="17" customFormat="1" x14ac:dyDescent="0.25">
      <c r="A316" s="11" t="s">
        <v>775</v>
      </c>
      <c r="B316" s="60" t="s">
        <v>296</v>
      </c>
      <c r="C316" s="62">
        <v>2011</v>
      </c>
      <c r="D316" s="1">
        <f t="shared" si="74"/>
        <v>57</v>
      </c>
      <c r="E316" s="287"/>
      <c r="F316" s="287"/>
      <c r="G316" s="120"/>
      <c r="H316" s="13"/>
      <c r="I316" s="261"/>
      <c r="J316" s="252"/>
      <c r="K316" s="252"/>
      <c r="L316" s="252"/>
      <c r="M316" s="252"/>
      <c r="N316" s="267">
        <f t="shared" si="79"/>
        <v>57</v>
      </c>
      <c r="O316" s="120"/>
      <c r="P316" s="96">
        <f t="shared" si="75"/>
        <v>57</v>
      </c>
      <c r="Q316" s="97">
        <f t="shared" si="80"/>
        <v>57</v>
      </c>
      <c r="R316" s="252"/>
      <c r="S316" s="201"/>
      <c r="T316" s="192"/>
      <c r="U316" s="183"/>
      <c r="V316" s="168">
        <f>19</f>
        <v>19</v>
      </c>
      <c r="W316" s="50">
        <f>16</f>
        <v>16</v>
      </c>
      <c r="X316" s="50">
        <f>22</f>
        <v>22</v>
      </c>
      <c r="Y316" s="215">
        <f t="shared" si="76"/>
        <v>0</v>
      </c>
      <c r="Z316" s="120"/>
      <c r="AA316" s="96">
        <f t="shared" si="81"/>
        <v>57</v>
      </c>
      <c r="AB316" s="97">
        <f t="shared" si="82"/>
        <v>57</v>
      </c>
      <c r="AC316" s="22"/>
      <c r="AD316" s="256"/>
      <c r="AE316" s="50"/>
      <c r="AF316" s="50"/>
      <c r="AG316" s="50"/>
      <c r="AH316" s="50"/>
      <c r="AI316" s="120"/>
      <c r="AJ316" s="96">
        <f t="shared" si="83"/>
        <v>0</v>
      </c>
      <c r="AK316" s="97"/>
      <c r="AL316" s="22"/>
      <c r="AM316" s="41"/>
      <c r="AN316" s="41"/>
      <c r="AO316" s="41"/>
      <c r="AP316" s="41"/>
      <c r="AQ316" s="41"/>
      <c r="AR316" s="41"/>
      <c r="AS316" s="13"/>
      <c r="AT316" s="95"/>
      <c r="AU316" s="96"/>
      <c r="AV316" s="97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spans="1:67" x14ac:dyDescent="0.25">
      <c r="A317" s="11" t="s">
        <v>565</v>
      </c>
      <c r="B317" s="60" t="s">
        <v>563</v>
      </c>
      <c r="C317" s="62">
        <v>2012</v>
      </c>
      <c r="D317" s="1">
        <f t="shared" si="74"/>
        <v>5.333333333333333</v>
      </c>
      <c r="I317" s="108"/>
      <c r="J317" s="108"/>
      <c r="K317" s="108"/>
      <c r="L317" s="108"/>
      <c r="M317" s="108"/>
      <c r="N317" s="267">
        <f t="shared" si="79"/>
        <v>5.333333333333333</v>
      </c>
      <c r="P317" s="96">
        <f t="shared" si="75"/>
        <v>5.333333333333333</v>
      </c>
      <c r="Q317" s="97">
        <f t="shared" si="80"/>
        <v>5.333333333333333</v>
      </c>
      <c r="R317" s="108"/>
      <c r="S317" s="201"/>
      <c r="T317" s="192"/>
      <c r="U317" s="183"/>
      <c r="V317" s="168"/>
      <c r="W317" s="50"/>
      <c r="X317" s="50"/>
      <c r="Y317" s="215">
        <f t="shared" si="76"/>
        <v>16</v>
      </c>
      <c r="Z317" s="152"/>
      <c r="AA317" s="96">
        <f t="shared" si="81"/>
        <v>16</v>
      </c>
      <c r="AB317" s="97">
        <f t="shared" si="82"/>
        <v>5.333333333333333</v>
      </c>
      <c r="AC317" s="290"/>
      <c r="AD317" s="290"/>
      <c r="AE317" s="50"/>
      <c r="AF317" s="50"/>
      <c r="AG317" s="50">
        <f>16</f>
        <v>16</v>
      </c>
      <c r="AH317" s="50"/>
      <c r="AI317" s="120"/>
      <c r="AJ317" s="96">
        <f t="shared" si="83"/>
        <v>16</v>
      </c>
      <c r="AK317" s="97">
        <f>IF(C317=2011, AJ317/3,AJ317)+AI317</f>
        <v>16</v>
      </c>
      <c r="AL317" s="22"/>
      <c r="AM317" s="151"/>
      <c r="AN317" s="151"/>
      <c r="AO317" s="151"/>
      <c r="AP317" s="151"/>
      <c r="AQ317" s="151"/>
      <c r="AR317" s="151"/>
      <c r="AT317" s="95"/>
      <c r="AU317" s="96">
        <f>SUM(AM317:AS317)</f>
        <v>0</v>
      </c>
      <c r="AV317" s="97">
        <f>IF(C317=2015, AU317/3,AU317)+AT317</f>
        <v>0</v>
      </c>
    </row>
    <row r="318" spans="1:67" x14ac:dyDescent="0.25">
      <c r="A318" s="60" t="s">
        <v>193</v>
      </c>
      <c r="B318" s="65" t="s">
        <v>87</v>
      </c>
      <c r="C318" s="62"/>
      <c r="D318" s="1">
        <f t="shared" si="74"/>
        <v>42</v>
      </c>
      <c r="J318" s="256"/>
      <c r="K318" s="256"/>
      <c r="L318" s="256"/>
      <c r="M318" s="256"/>
      <c r="N318" s="267">
        <f t="shared" si="79"/>
        <v>42</v>
      </c>
      <c r="P318" s="96">
        <f t="shared" si="75"/>
        <v>42</v>
      </c>
      <c r="Q318" s="97">
        <f t="shared" si="80"/>
        <v>42</v>
      </c>
      <c r="R318" s="256"/>
      <c r="S318" s="201"/>
      <c r="T318" s="192"/>
      <c r="U318" s="183"/>
      <c r="V318" s="168"/>
      <c r="W318" s="50"/>
      <c r="X318" s="50"/>
      <c r="Y318" s="215">
        <f t="shared" si="76"/>
        <v>42</v>
      </c>
      <c r="Z318" s="120"/>
      <c r="AA318" s="96">
        <f t="shared" si="81"/>
        <v>42</v>
      </c>
      <c r="AB318" s="97">
        <f t="shared" si="82"/>
        <v>42</v>
      </c>
      <c r="AC318" s="22"/>
      <c r="AD318" s="287"/>
      <c r="AE318" s="50"/>
      <c r="AF318" s="50"/>
      <c r="AG318" s="50"/>
      <c r="AH318" s="50">
        <f>AV318</f>
        <v>42</v>
      </c>
      <c r="AI318" s="120"/>
      <c r="AJ318" s="96">
        <f t="shared" si="83"/>
        <v>42</v>
      </c>
      <c r="AK318" s="97">
        <f>IF(C318=2011, AJ318/3,AJ318)+AI318</f>
        <v>42</v>
      </c>
      <c r="AL318" s="22"/>
      <c r="AN318" s="13">
        <f>24+18</f>
        <v>42</v>
      </c>
      <c r="AT318" s="95"/>
      <c r="AU318" s="96">
        <f>SUM(AM318:AS318)</f>
        <v>42</v>
      </c>
      <c r="AV318" s="97">
        <f>IF(C318=2010, AU318/3,AU318)+AT318</f>
        <v>42</v>
      </c>
    </row>
    <row r="319" spans="1:67" x14ac:dyDescent="0.25">
      <c r="A319" s="11" t="s">
        <v>586</v>
      </c>
      <c r="B319" s="60" t="s">
        <v>583</v>
      </c>
      <c r="C319" s="62">
        <v>2011</v>
      </c>
      <c r="D319" s="1">
        <f t="shared" si="74"/>
        <v>6</v>
      </c>
      <c r="I319" s="154"/>
      <c r="J319" s="154"/>
      <c r="K319" s="154"/>
      <c r="L319" s="154"/>
      <c r="M319" s="154"/>
      <c r="N319" s="267">
        <f t="shared" si="79"/>
        <v>6</v>
      </c>
      <c r="P319" s="96">
        <f t="shared" si="75"/>
        <v>6</v>
      </c>
      <c r="Q319" s="97">
        <f t="shared" si="80"/>
        <v>6</v>
      </c>
      <c r="R319" s="154"/>
      <c r="S319" s="201"/>
      <c r="T319" s="192"/>
      <c r="U319" s="183"/>
      <c r="V319" s="168"/>
      <c r="W319" s="50"/>
      <c r="X319" s="50">
        <f>3</f>
        <v>3</v>
      </c>
      <c r="Y319" s="215">
        <f t="shared" si="76"/>
        <v>3</v>
      </c>
      <c r="Z319" s="120"/>
      <c r="AA319" s="96">
        <f t="shared" si="81"/>
        <v>6</v>
      </c>
      <c r="AB319" s="97">
        <f t="shared" si="82"/>
        <v>6</v>
      </c>
      <c r="AC319" s="287"/>
      <c r="AD319" s="287"/>
      <c r="AE319" s="50"/>
      <c r="AF319" s="50"/>
      <c r="AG319" s="50">
        <f>0</f>
        <v>0</v>
      </c>
      <c r="AH319" s="50"/>
      <c r="AI319" s="120">
        <f>3</f>
        <v>3</v>
      </c>
      <c r="AJ319" s="96">
        <f t="shared" si="83"/>
        <v>0</v>
      </c>
      <c r="AK319" s="97">
        <f>IF(C319=2011, AJ319/3,AJ319)+AI319</f>
        <v>3</v>
      </c>
      <c r="AL319" s="22"/>
      <c r="AM319" s="41"/>
      <c r="AN319" s="41"/>
      <c r="AO319" s="41"/>
      <c r="AP319" s="41"/>
      <c r="AQ319" s="41"/>
      <c r="AR319" s="41"/>
      <c r="AT319" s="95"/>
      <c r="AU319" s="96"/>
      <c r="AV319" s="97"/>
    </row>
    <row r="320" spans="1:67" x14ac:dyDescent="0.25">
      <c r="A320" s="45" t="s">
        <v>883</v>
      </c>
      <c r="B320" s="66" t="s">
        <v>296</v>
      </c>
      <c r="C320" s="46">
        <v>2013</v>
      </c>
      <c r="D320" s="1">
        <f t="shared" si="74"/>
        <v>13.666666666666666</v>
      </c>
      <c r="I320" s="154"/>
      <c r="J320" s="154"/>
      <c r="K320" s="154"/>
      <c r="L320" s="154"/>
      <c r="M320" s="154"/>
      <c r="N320" s="267">
        <f t="shared" si="79"/>
        <v>41</v>
      </c>
      <c r="P320" s="96">
        <f t="shared" si="75"/>
        <v>41</v>
      </c>
      <c r="Q320" s="97">
        <f t="shared" si="80"/>
        <v>13.666666666666666</v>
      </c>
      <c r="R320" s="154"/>
      <c r="U320" s="154">
        <f>15+3</f>
        <v>18</v>
      </c>
      <c r="V320" s="154">
        <f>23</f>
        <v>23</v>
      </c>
      <c r="Y320" s="215">
        <f t="shared" si="76"/>
        <v>0</v>
      </c>
      <c r="Z320" s="152"/>
      <c r="AA320" s="96">
        <f>AM320+S320+T320+U320+V320+W320+X320+Y320</f>
        <v>41</v>
      </c>
      <c r="AB320" s="97">
        <f>IF(C320=2017, AA320/3,AA320)+Z320</f>
        <v>41</v>
      </c>
      <c r="AE320" s="50"/>
      <c r="AF320" s="50"/>
      <c r="AG320" s="50"/>
      <c r="AH320" s="50"/>
      <c r="AI320" s="120"/>
      <c r="AJ320" s="96">
        <f>SUM(AE320:AH320)</f>
        <v>0</v>
      </c>
      <c r="AK320" s="97">
        <f>IF(C320=2016, AJ320/3,AJ320)+AI320</f>
        <v>0</v>
      </c>
      <c r="AL320" s="101"/>
      <c r="AM320" s="151"/>
      <c r="AN320" s="151"/>
      <c r="AO320" s="151"/>
      <c r="AP320" s="151"/>
      <c r="AQ320" s="151"/>
      <c r="AR320" s="151"/>
      <c r="AS320" s="286"/>
      <c r="AT320" s="95"/>
      <c r="AU320" s="96"/>
      <c r="AV320" s="97"/>
    </row>
    <row r="321" spans="1:48" x14ac:dyDescent="0.25">
      <c r="A321" s="45" t="s">
        <v>1130</v>
      </c>
      <c r="B321" s="66" t="s">
        <v>476</v>
      </c>
      <c r="C321" s="46">
        <v>2013</v>
      </c>
      <c r="D321" s="1">
        <f t="shared" si="74"/>
        <v>3.3333333333333335</v>
      </c>
      <c r="I321" s="154"/>
      <c r="J321" s="154"/>
      <c r="K321" s="154"/>
      <c r="L321" s="154">
        <f>10</f>
        <v>10</v>
      </c>
      <c r="M321" s="154"/>
      <c r="N321" s="267">
        <f t="shared" si="79"/>
        <v>0</v>
      </c>
      <c r="P321" s="96">
        <f t="shared" si="75"/>
        <v>10</v>
      </c>
      <c r="Q321" s="97">
        <f t="shared" si="80"/>
        <v>3.3333333333333335</v>
      </c>
      <c r="R321" s="154"/>
      <c r="Y321" s="215"/>
      <c r="Z321" s="152"/>
      <c r="AA321" s="96"/>
      <c r="AB321" s="97"/>
      <c r="AE321" s="50"/>
      <c r="AF321" s="50"/>
      <c r="AG321" s="50"/>
      <c r="AH321" s="50"/>
      <c r="AI321" s="120"/>
      <c r="AJ321" s="96"/>
      <c r="AK321" s="97"/>
      <c r="AL321" s="101"/>
      <c r="AM321" s="151"/>
      <c r="AN321" s="151"/>
      <c r="AO321" s="151"/>
      <c r="AP321" s="151"/>
      <c r="AQ321" s="151"/>
      <c r="AR321" s="151"/>
      <c r="AS321" s="286"/>
      <c r="AT321" s="95"/>
      <c r="AU321" s="96"/>
      <c r="AV321" s="97"/>
    </row>
    <row r="322" spans="1:48" x14ac:dyDescent="0.25">
      <c r="A322" s="11" t="s">
        <v>308</v>
      </c>
      <c r="B322" s="60" t="s">
        <v>6</v>
      </c>
      <c r="C322" s="62">
        <v>2011</v>
      </c>
      <c r="D322" s="1">
        <f t="shared" si="74"/>
        <v>44</v>
      </c>
      <c r="I322" s="267"/>
      <c r="J322" s="267"/>
      <c r="K322" s="267"/>
      <c r="L322" s="267"/>
      <c r="M322" s="267"/>
      <c r="N322" s="267">
        <f t="shared" si="79"/>
        <v>44</v>
      </c>
      <c r="P322" s="96">
        <f t="shared" si="75"/>
        <v>44</v>
      </c>
      <c r="Q322" s="97">
        <f t="shared" si="80"/>
        <v>44</v>
      </c>
      <c r="R322" s="267"/>
      <c r="S322" s="201"/>
      <c r="T322" s="192"/>
      <c r="U322" s="183"/>
      <c r="V322" s="168"/>
      <c r="W322" s="50"/>
      <c r="X322" s="50"/>
      <c r="Y322" s="215">
        <f>AK322</f>
        <v>44</v>
      </c>
      <c r="Z322" s="120"/>
      <c r="AA322" s="96">
        <f>S322+T322+U322+V322+W322+X322+Y322</f>
        <v>44</v>
      </c>
      <c r="AB322" s="97">
        <f>IF(C322=2012, AA322/3,AA322)+Z322</f>
        <v>44</v>
      </c>
      <c r="AC322" s="287"/>
      <c r="AD322" s="252"/>
      <c r="AE322" s="50"/>
      <c r="AF322" s="50">
        <f>32</f>
        <v>32</v>
      </c>
      <c r="AG322" s="50">
        <f>16+36</f>
        <v>52</v>
      </c>
      <c r="AH322" s="50">
        <f>AV322</f>
        <v>48</v>
      </c>
      <c r="AI322" s="120"/>
      <c r="AJ322" s="96">
        <f>SUM(AD322:AH322)</f>
        <v>132</v>
      </c>
      <c r="AK322" s="97">
        <f>IF(C322=2011, AJ322/3,AJ322)+AI322</f>
        <v>44</v>
      </c>
      <c r="AL322" s="22"/>
      <c r="AM322" s="41"/>
      <c r="AN322" s="41"/>
      <c r="AO322" s="41"/>
      <c r="AP322" s="41">
        <f>18</f>
        <v>18</v>
      </c>
      <c r="AQ322" s="41">
        <f>29</f>
        <v>29</v>
      </c>
      <c r="AR322" s="41"/>
      <c r="AS322" s="13">
        <f>1</f>
        <v>1</v>
      </c>
      <c r="AT322" s="95"/>
      <c r="AU322" s="96">
        <f>SUM(AM322:AS322)</f>
        <v>48</v>
      </c>
      <c r="AV322" s="97">
        <f>IF(C322=2015, AU322/3,AU322)+AT322</f>
        <v>48</v>
      </c>
    </row>
    <row r="323" spans="1:48" x14ac:dyDescent="0.25">
      <c r="A323" s="11" t="s">
        <v>902</v>
      </c>
      <c r="B323" s="60" t="s">
        <v>64</v>
      </c>
      <c r="C323" s="62"/>
      <c r="D323" s="1">
        <f t="shared" si="74"/>
        <v>16</v>
      </c>
      <c r="I323" s="267"/>
      <c r="J323" s="267"/>
      <c r="K323" s="267"/>
      <c r="L323" s="267"/>
      <c r="M323" s="267"/>
      <c r="N323" s="267">
        <f t="shared" si="79"/>
        <v>16</v>
      </c>
      <c r="P323" s="96">
        <f t="shared" si="75"/>
        <v>16</v>
      </c>
      <c r="Q323" s="97">
        <f t="shared" si="80"/>
        <v>16</v>
      </c>
      <c r="R323" s="267"/>
      <c r="S323" s="201"/>
      <c r="T323" s="192"/>
      <c r="U323" s="183"/>
      <c r="V323" s="168">
        <f>10+3+3</f>
        <v>16</v>
      </c>
      <c r="W323" s="50"/>
      <c r="X323" s="50"/>
      <c r="Y323" s="215">
        <f>AK323</f>
        <v>0</v>
      </c>
      <c r="Z323" s="120"/>
      <c r="AA323" s="96">
        <f>S323+T323+U323+V323+W323+X323+Y323</f>
        <v>16</v>
      </c>
      <c r="AB323" s="97">
        <f>IF(C323=2012, AA323/3,AA323)+Z323</f>
        <v>16</v>
      </c>
      <c r="AC323" s="22"/>
      <c r="AD323" s="287"/>
      <c r="AE323" s="50"/>
      <c r="AF323" s="50"/>
      <c r="AG323" s="50"/>
      <c r="AH323" s="50"/>
      <c r="AI323" s="120"/>
      <c r="AJ323" s="96">
        <f>SUM(AD323:AH323)</f>
        <v>0</v>
      </c>
      <c r="AK323" s="97">
        <f>IF(C323=2011, AJ323/3,AJ323)+AI323</f>
        <v>0</v>
      </c>
      <c r="AL323" s="22"/>
      <c r="AM323" s="41"/>
      <c r="AN323" s="41"/>
      <c r="AO323" s="41"/>
      <c r="AP323" s="41"/>
      <c r="AQ323" s="41"/>
      <c r="AR323" s="41"/>
      <c r="AT323" s="95"/>
      <c r="AU323" s="96"/>
      <c r="AV323" s="97"/>
    </row>
    <row r="324" spans="1:48" x14ac:dyDescent="0.25">
      <c r="A324" s="11" t="s">
        <v>852</v>
      </c>
      <c r="B324" s="60" t="s">
        <v>629</v>
      </c>
      <c r="C324" s="62">
        <v>2011</v>
      </c>
      <c r="D324" s="1">
        <f t="shared" si="74"/>
        <v>118</v>
      </c>
      <c r="E324" s="283">
        <f>48</f>
        <v>48</v>
      </c>
      <c r="G324" s="120">
        <f>2+2</f>
        <v>4</v>
      </c>
      <c r="I324" s="154">
        <f>30</f>
        <v>30</v>
      </c>
      <c r="J324" s="154">
        <f>38</f>
        <v>38</v>
      </c>
      <c r="K324" s="154"/>
      <c r="L324" s="154"/>
      <c r="M324" s="154"/>
      <c r="N324" s="267">
        <f t="shared" si="79"/>
        <v>2</v>
      </c>
      <c r="P324" s="96">
        <f t="shared" si="75"/>
        <v>70</v>
      </c>
      <c r="Q324" s="97">
        <f t="shared" si="80"/>
        <v>70</v>
      </c>
      <c r="R324" s="154"/>
      <c r="S324" s="201"/>
      <c r="T324" s="192"/>
      <c r="U324" s="183"/>
      <c r="V324" s="168"/>
      <c r="W324" s="50">
        <f>0+2</f>
        <v>2</v>
      </c>
      <c r="X324" s="50"/>
      <c r="Y324" s="215">
        <f>AK324</f>
        <v>0</v>
      </c>
      <c r="Z324" s="120"/>
      <c r="AA324" s="96">
        <f>S324+T324+U324+V324+W324+X324+Y324</f>
        <v>2</v>
      </c>
      <c r="AB324" s="97">
        <f>IF(C324=2012, AA324/3,AA324)+Z324</f>
        <v>2</v>
      </c>
      <c r="AC324" s="22"/>
      <c r="AD324" s="50"/>
      <c r="AE324" s="50"/>
      <c r="AF324" s="50"/>
      <c r="AG324" s="50"/>
      <c r="AH324" s="50"/>
      <c r="AI324" s="120"/>
      <c r="AJ324" s="96">
        <f>SUM(AD324:AH324)</f>
        <v>0</v>
      </c>
      <c r="AK324" s="97">
        <f>IF(C324=2011, AJ324/3,AJ324)+AI324</f>
        <v>0</v>
      </c>
      <c r="AL324" s="22"/>
      <c r="AM324" s="41"/>
      <c r="AN324" s="41"/>
      <c r="AO324" s="41"/>
      <c r="AP324" s="41"/>
      <c r="AQ324" s="41"/>
      <c r="AR324" s="41"/>
      <c r="AT324" s="95"/>
      <c r="AU324" s="96"/>
      <c r="AV324" s="97"/>
    </row>
    <row r="325" spans="1:48" x14ac:dyDescent="0.25">
      <c r="A325" s="11" t="s">
        <v>892</v>
      </c>
      <c r="B325" s="60" t="s">
        <v>404</v>
      </c>
      <c r="C325" s="62">
        <v>2013</v>
      </c>
      <c r="D325" s="1">
        <f t="shared" si="74"/>
        <v>8</v>
      </c>
      <c r="I325" s="287"/>
      <c r="J325" s="287"/>
      <c r="K325" s="287"/>
      <c r="L325" s="287"/>
      <c r="M325" s="287"/>
      <c r="N325" s="267">
        <f t="shared" si="79"/>
        <v>24</v>
      </c>
      <c r="P325" s="96">
        <f t="shared" si="75"/>
        <v>24</v>
      </c>
      <c r="Q325" s="97">
        <f t="shared" si="80"/>
        <v>8</v>
      </c>
      <c r="R325" s="287"/>
      <c r="S325" s="201">
        <f>7</f>
        <v>7</v>
      </c>
      <c r="T325" s="192"/>
      <c r="U325" s="183"/>
      <c r="V325" s="168">
        <f>0+17</f>
        <v>17</v>
      </c>
      <c r="W325" s="50"/>
      <c r="X325" s="50"/>
      <c r="Y325" s="215">
        <f>AK325</f>
        <v>0</v>
      </c>
      <c r="Z325" s="152"/>
      <c r="AA325" s="96">
        <f>AM325+S325+T325+U325+V325+W325+X325+Y325</f>
        <v>24</v>
      </c>
      <c r="AB325" s="97">
        <f>IF(C325=2017, AA325/3,AA325)+Z325</f>
        <v>24</v>
      </c>
      <c r="AE325" s="50"/>
      <c r="AF325" s="50"/>
      <c r="AG325" s="50"/>
      <c r="AH325" s="50"/>
      <c r="AI325" s="120"/>
      <c r="AJ325" s="96">
        <f>SUM(AE325:AH325)</f>
        <v>0</v>
      </c>
      <c r="AK325" s="97">
        <f>IF(C325=2016, AJ325/3,AJ325)+AI325</f>
        <v>0</v>
      </c>
      <c r="AL325" s="22"/>
      <c r="AM325" s="151"/>
      <c r="AN325" s="151"/>
      <c r="AO325" s="151"/>
      <c r="AP325" s="151"/>
      <c r="AQ325" s="151"/>
      <c r="AR325" s="151"/>
      <c r="AT325" s="95"/>
      <c r="AU325" s="96"/>
      <c r="AV325" s="97"/>
    </row>
    <row r="326" spans="1:48" x14ac:dyDescent="0.25">
      <c r="A326" s="11" t="s">
        <v>1000</v>
      </c>
      <c r="B326" s="60" t="s">
        <v>86</v>
      </c>
      <c r="C326" s="62">
        <v>2013</v>
      </c>
      <c r="D326" s="1">
        <f t="shared" si="74"/>
        <v>5</v>
      </c>
      <c r="E326" s="108"/>
      <c r="F326" s="108"/>
      <c r="I326" s="267"/>
      <c r="J326" s="267"/>
      <c r="K326" s="267"/>
      <c r="L326" s="267">
        <f>15</f>
        <v>15</v>
      </c>
      <c r="M326" s="267"/>
      <c r="N326" s="267">
        <f t="shared" si="79"/>
        <v>0</v>
      </c>
      <c r="P326" s="96">
        <f t="shared" si="75"/>
        <v>15</v>
      </c>
      <c r="Q326" s="97">
        <f t="shared" si="80"/>
        <v>5</v>
      </c>
      <c r="R326" s="267"/>
      <c r="S326" s="201">
        <f>0</f>
        <v>0</v>
      </c>
      <c r="T326" s="192"/>
      <c r="U326" s="183"/>
      <c r="V326" s="168"/>
      <c r="W326" s="50"/>
      <c r="X326" s="50"/>
      <c r="Y326" s="215">
        <f>AK326</f>
        <v>0</v>
      </c>
      <c r="Z326" s="152"/>
      <c r="AA326" s="96">
        <f>AM326+S326+T326+U326+V326+W326+X326+Y326</f>
        <v>0</v>
      </c>
      <c r="AB326" s="97">
        <f>IF(C326=2017, AA326/3,AA326)+Z326</f>
        <v>0</v>
      </c>
      <c r="AE326" s="50"/>
      <c r="AF326" s="50"/>
      <c r="AG326" s="50"/>
      <c r="AH326" s="50"/>
      <c r="AI326" s="120"/>
      <c r="AJ326" s="96">
        <f>SUM(AE326:AH326)</f>
        <v>0</v>
      </c>
      <c r="AK326" s="97">
        <f>IF(C326=2016, AJ326/3,AJ326)+AI326</f>
        <v>0</v>
      </c>
      <c r="AL326" s="22"/>
      <c r="AM326" s="151"/>
      <c r="AN326" s="151"/>
      <c r="AO326" s="151"/>
      <c r="AP326" s="151"/>
      <c r="AQ326" s="151"/>
      <c r="AR326" s="151"/>
      <c r="AT326" s="95"/>
      <c r="AU326" s="96"/>
      <c r="AV326" s="97"/>
    </row>
    <row r="327" spans="1:48" x14ac:dyDescent="0.25">
      <c r="A327" s="11" t="s">
        <v>1154</v>
      </c>
      <c r="B327" s="60" t="s">
        <v>86</v>
      </c>
      <c r="C327" s="62">
        <v>2011</v>
      </c>
      <c r="D327" s="1">
        <f t="shared" si="74"/>
        <v>8</v>
      </c>
      <c r="I327" s="287"/>
      <c r="J327" s="287"/>
      <c r="K327" s="287"/>
      <c r="L327" s="287">
        <f>8</f>
        <v>8</v>
      </c>
      <c r="M327" s="287"/>
      <c r="N327" s="267">
        <f t="shared" si="79"/>
        <v>0</v>
      </c>
      <c r="P327" s="96">
        <f t="shared" si="75"/>
        <v>8</v>
      </c>
      <c r="Q327" s="97">
        <f t="shared" si="80"/>
        <v>8</v>
      </c>
      <c r="R327" s="287"/>
      <c r="S327" s="201"/>
      <c r="T327" s="192"/>
      <c r="U327" s="183"/>
      <c r="V327" s="168"/>
      <c r="W327" s="168"/>
      <c r="X327" s="168"/>
      <c r="Y327" s="215"/>
      <c r="Z327" s="120"/>
      <c r="AA327" s="96"/>
      <c r="AB327" s="97"/>
      <c r="AC327" s="22"/>
      <c r="AD327" s="168"/>
      <c r="AE327" s="168"/>
      <c r="AF327" s="168"/>
      <c r="AG327" s="168"/>
      <c r="AH327" s="168"/>
      <c r="AI327" s="120"/>
      <c r="AJ327" s="96"/>
      <c r="AK327" s="97"/>
      <c r="AL327" s="22"/>
      <c r="AM327" s="41"/>
      <c r="AN327" s="41"/>
      <c r="AO327" s="41"/>
      <c r="AP327" s="41"/>
      <c r="AQ327" s="41"/>
      <c r="AR327" s="41"/>
      <c r="AT327" s="95"/>
      <c r="AU327" s="96"/>
      <c r="AV327" s="97"/>
    </row>
    <row r="328" spans="1:48" x14ac:dyDescent="0.25">
      <c r="A328" s="71" t="s">
        <v>238</v>
      </c>
      <c r="B328" s="71" t="s">
        <v>231</v>
      </c>
      <c r="C328" s="72">
        <v>2012</v>
      </c>
      <c r="D328" s="1">
        <f t="shared" si="74"/>
        <v>16</v>
      </c>
      <c r="N328" s="267">
        <f t="shared" si="79"/>
        <v>16</v>
      </c>
      <c r="P328" s="96">
        <f t="shared" si="75"/>
        <v>16</v>
      </c>
      <c r="Q328" s="97">
        <f t="shared" si="80"/>
        <v>16</v>
      </c>
      <c r="S328" s="201"/>
      <c r="T328" s="192"/>
      <c r="U328" s="183"/>
      <c r="V328" s="168"/>
      <c r="W328" s="50"/>
      <c r="X328" s="50"/>
      <c r="Y328" s="215">
        <f>AK328</f>
        <v>48</v>
      </c>
      <c r="Z328" s="120"/>
      <c r="AA328" s="96">
        <f>S328+T328+U328+V328+W328+X328+Y328</f>
        <v>48</v>
      </c>
      <c r="AB328" s="97">
        <f>IF(C328=2012, AA328/3,AA328)+Z328</f>
        <v>16</v>
      </c>
      <c r="AC328" s="290"/>
      <c r="AD328" s="290"/>
      <c r="AE328" s="50"/>
      <c r="AF328" s="50"/>
      <c r="AG328" s="50"/>
      <c r="AH328" s="50">
        <f>AV328</f>
        <v>48</v>
      </c>
      <c r="AI328" s="120"/>
      <c r="AJ328" s="96">
        <f>SUM(AD328:AH328)</f>
        <v>48</v>
      </c>
      <c r="AK328" s="97">
        <f>IF(C328=2011, AJ328/3,AJ328)+AI328</f>
        <v>48</v>
      </c>
      <c r="AL328" s="22"/>
      <c r="AM328" s="287"/>
      <c r="AN328" s="287"/>
      <c r="AO328" s="287">
        <f>48</f>
        <v>48</v>
      </c>
      <c r="AP328" s="287"/>
      <c r="AQ328" s="287"/>
      <c r="AR328" s="287"/>
      <c r="AS328" s="285"/>
      <c r="AT328" s="95"/>
      <c r="AU328" s="96">
        <f>SUM(AM328:AS328)</f>
        <v>48</v>
      </c>
      <c r="AV328" s="97">
        <f>IF(C328=2015, AU328/3,AU328)+AT328</f>
        <v>48</v>
      </c>
    </row>
    <row r="329" spans="1:48" x14ac:dyDescent="0.25">
      <c r="A329" s="11" t="s">
        <v>911</v>
      </c>
      <c r="B329" s="60" t="s">
        <v>404</v>
      </c>
      <c r="C329" s="62">
        <v>2013</v>
      </c>
      <c r="D329" s="1">
        <f t="shared" si="74"/>
        <v>3.3333333333333335</v>
      </c>
      <c r="E329" s="108"/>
      <c r="F329" s="108"/>
      <c r="J329" s="252"/>
      <c r="K329" s="252"/>
      <c r="L329" s="252"/>
      <c r="M329" s="252"/>
      <c r="N329" s="267">
        <f t="shared" si="79"/>
        <v>10</v>
      </c>
      <c r="P329" s="96">
        <f t="shared" si="75"/>
        <v>10</v>
      </c>
      <c r="Q329" s="97">
        <f t="shared" si="80"/>
        <v>3.3333333333333335</v>
      </c>
      <c r="R329" s="252"/>
      <c r="S329" s="201"/>
      <c r="T329" s="192"/>
      <c r="U329" s="183"/>
      <c r="V329" s="168">
        <f>10</f>
        <v>10</v>
      </c>
      <c r="W329" s="50"/>
      <c r="X329" s="50"/>
      <c r="Y329" s="215">
        <f>AK329</f>
        <v>0</v>
      </c>
      <c r="Z329" s="152"/>
      <c r="AA329" s="96">
        <f>AM329+S329+T329+U329+V329+W329+X329+Y329</f>
        <v>10</v>
      </c>
      <c r="AB329" s="97">
        <f>IF(C329=2017, AA329/3,AA329)+Z329</f>
        <v>10</v>
      </c>
      <c r="AE329" s="50"/>
      <c r="AF329" s="50"/>
      <c r="AG329" s="50"/>
      <c r="AH329" s="50"/>
      <c r="AI329" s="120"/>
      <c r="AJ329" s="96">
        <f>SUM(AE329:AH329)</f>
        <v>0</v>
      </c>
      <c r="AK329" s="97">
        <f>IF(C329=2016, AJ329/3,AJ329)+AI329</f>
        <v>0</v>
      </c>
      <c r="AL329" s="22"/>
      <c r="AM329" s="151"/>
      <c r="AN329" s="151"/>
      <c r="AO329" s="151"/>
      <c r="AP329" s="151"/>
      <c r="AQ329" s="151"/>
      <c r="AR329" s="151"/>
      <c r="AT329" s="95"/>
      <c r="AU329" s="96"/>
      <c r="AV329" s="97"/>
    </row>
    <row r="330" spans="1:48" x14ac:dyDescent="0.25">
      <c r="A330" s="71" t="s">
        <v>730</v>
      </c>
      <c r="B330" s="71" t="s">
        <v>63</v>
      </c>
      <c r="C330" s="72">
        <v>2012</v>
      </c>
      <c r="D330" s="1">
        <f t="shared" si="74"/>
        <v>0</v>
      </c>
      <c r="E330" s="108"/>
      <c r="F330" s="108"/>
      <c r="I330" s="287"/>
      <c r="J330" s="287"/>
      <c r="K330" s="287"/>
      <c r="L330" s="287"/>
      <c r="M330" s="287"/>
      <c r="N330" s="267">
        <f t="shared" si="79"/>
        <v>0</v>
      </c>
      <c r="P330" s="96">
        <f t="shared" si="75"/>
        <v>0</v>
      </c>
      <c r="Q330" s="97">
        <f t="shared" si="80"/>
        <v>0</v>
      </c>
      <c r="R330" s="287"/>
      <c r="S330" s="201"/>
      <c r="T330" s="192"/>
      <c r="U330" s="183"/>
      <c r="V330" s="168"/>
      <c r="W330" s="50"/>
      <c r="X330" s="50"/>
      <c r="Y330" s="215">
        <f>AK330</f>
        <v>0</v>
      </c>
      <c r="Z330" s="152"/>
      <c r="AA330" s="96">
        <f>S330+T330+U330+V330+W330+X330+Y330</f>
        <v>0</v>
      </c>
      <c r="AB330" s="97">
        <f>IF(C330=2012, AA330/3,AA330)+Z330</f>
        <v>0</v>
      </c>
      <c r="AC330" s="290"/>
      <c r="AD330" s="290"/>
      <c r="AE330" s="50"/>
      <c r="AF330" s="50"/>
      <c r="AG330" s="50"/>
      <c r="AH330" s="50"/>
      <c r="AI330" s="120"/>
      <c r="AJ330" s="96">
        <f>SUM(AD330:AH330)</f>
        <v>0</v>
      </c>
      <c r="AK330" s="97">
        <f>IF(C330=2011, AJ330/3,AJ330)+AI330</f>
        <v>0</v>
      </c>
      <c r="AL330" s="22"/>
      <c r="AM330" s="256"/>
      <c r="AN330" s="256"/>
      <c r="AO330" s="256"/>
      <c r="AP330" s="256"/>
      <c r="AQ330" s="256"/>
      <c r="AR330" s="256"/>
      <c r="AS330" s="254"/>
      <c r="AT330" s="95"/>
      <c r="AU330" s="96">
        <f>SUM(AM330:AS330)</f>
        <v>0</v>
      </c>
      <c r="AV330" s="97">
        <f>IF(C330=2015, AU330/3,AU330)+AT330</f>
        <v>0</v>
      </c>
    </row>
    <row r="331" spans="1:48" x14ac:dyDescent="0.25">
      <c r="A331" s="11" t="s">
        <v>1140</v>
      </c>
      <c r="B331" s="60" t="s">
        <v>476</v>
      </c>
      <c r="C331" s="62">
        <v>2013</v>
      </c>
      <c r="D331" s="1">
        <f t="shared" si="74"/>
        <v>0</v>
      </c>
      <c r="I331" s="287"/>
      <c r="J331" s="287"/>
      <c r="K331" s="287"/>
      <c r="L331" s="287">
        <f>0</f>
        <v>0</v>
      </c>
      <c r="M331" s="287"/>
      <c r="N331" s="267">
        <f t="shared" si="79"/>
        <v>0</v>
      </c>
      <c r="P331" s="96">
        <f t="shared" si="75"/>
        <v>0</v>
      </c>
      <c r="Q331" s="97">
        <f t="shared" si="80"/>
        <v>0</v>
      </c>
      <c r="R331" s="287"/>
      <c r="S331" s="201"/>
      <c r="T331" s="192"/>
      <c r="U331" s="183"/>
      <c r="V331" s="168"/>
      <c r="W331" s="50"/>
      <c r="X331" s="50"/>
      <c r="Y331" s="215"/>
      <c r="Z331" s="152"/>
      <c r="AA331" s="96"/>
      <c r="AB331" s="97"/>
      <c r="AE331" s="50"/>
      <c r="AF331" s="50"/>
      <c r="AG331" s="50"/>
      <c r="AH331" s="50"/>
      <c r="AI331" s="120"/>
      <c r="AJ331" s="96"/>
      <c r="AK331" s="97"/>
      <c r="AL331" s="22"/>
      <c r="AM331" s="151"/>
      <c r="AN331" s="151"/>
      <c r="AO331" s="151"/>
      <c r="AP331" s="151"/>
      <c r="AQ331" s="151"/>
      <c r="AR331" s="151"/>
      <c r="AT331" s="95"/>
      <c r="AU331" s="96"/>
      <c r="AV331" s="97"/>
    </row>
    <row r="332" spans="1:48" x14ac:dyDescent="0.25">
      <c r="A332" s="60" t="s">
        <v>640</v>
      </c>
      <c r="B332" s="65" t="s">
        <v>231</v>
      </c>
      <c r="C332" s="62"/>
      <c r="D332" s="1">
        <f t="shared" si="74"/>
        <v>35</v>
      </c>
      <c r="E332" s="108"/>
      <c r="F332" s="108"/>
      <c r="J332" s="256"/>
      <c r="K332" s="256"/>
      <c r="L332" s="256"/>
      <c r="M332" s="256"/>
      <c r="N332" s="267">
        <f t="shared" si="79"/>
        <v>35</v>
      </c>
      <c r="P332" s="96">
        <f t="shared" si="75"/>
        <v>35</v>
      </c>
      <c r="Q332" s="97">
        <f t="shared" si="80"/>
        <v>35</v>
      </c>
      <c r="R332" s="256"/>
      <c r="S332" s="201"/>
      <c r="T332" s="201"/>
      <c r="U332" s="201"/>
      <c r="V332" s="201"/>
      <c r="W332" s="201"/>
      <c r="X332" s="201"/>
      <c r="Y332" s="215">
        <f>AK332</f>
        <v>35</v>
      </c>
      <c r="Z332" s="120"/>
      <c r="AA332" s="96">
        <f>S332+T332+U332+V332+W332+X332+Y332</f>
        <v>35</v>
      </c>
      <c r="AB332" s="97">
        <f>IF(C332=2012, AA332/3,AA332)+Z332</f>
        <v>35</v>
      </c>
      <c r="AC332" s="22"/>
      <c r="AD332" s="267">
        <f>13</f>
        <v>13</v>
      </c>
      <c r="AE332" s="201"/>
      <c r="AF332" s="201">
        <f>22</f>
        <v>22</v>
      </c>
      <c r="AG332" s="201"/>
      <c r="AH332" s="201"/>
      <c r="AI332" s="120"/>
      <c r="AJ332" s="96">
        <f>SUM(AD332:AH332)</f>
        <v>35</v>
      </c>
      <c r="AK332" s="97">
        <f>IF(C332=2011, AJ332/3,AJ332)+AI332</f>
        <v>35</v>
      </c>
      <c r="AL332" s="22"/>
      <c r="AT332" s="95"/>
      <c r="AU332" s="96"/>
      <c r="AV332" s="97"/>
    </row>
    <row r="333" spans="1:48" x14ac:dyDescent="0.25">
      <c r="A333" s="11" t="s">
        <v>917</v>
      </c>
      <c r="B333" s="60" t="s">
        <v>64</v>
      </c>
      <c r="C333" s="62"/>
      <c r="D333" s="1">
        <f t="shared" si="74"/>
        <v>3</v>
      </c>
      <c r="E333" s="108"/>
      <c r="F333" s="108"/>
      <c r="J333" s="252"/>
      <c r="K333" s="252"/>
      <c r="L333" s="252"/>
      <c r="M333" s="252"/>
      <c r="N333" s="267">
        <f t="shared" si="79"/>
        <v>3</v>
      </c>
      <c r="P333" s="96">
        <f t="shared" si="75"/>
        <v>3</v>
      </c>
      <c r="Q333" s="97">
        <f t="shared" si="80"/>
        <v>3</v>
      </c>
      <c r="R333" s="252"/>
      <c r="S333" s="215"/>
      <c r="T333" s="215"/>
      <c r="U333" s="215"/>
      <c r="V333" s="215">
        <f>3</f>
        <v>3</v>
      </c>
      <c r="W333" s="215"/>
      <c r="X333" s="215"/>
      <c r="Y333" s="215">
        <f>AK333</f>
        <v>0</v>
      </c>
      <c r="Z333" s="120"/>
      <c r="AA333" s="96">
        <f>S333+T333+U333+V333+W333+X333+Y333</f>
        <v>3</v>
      </c>
      <c r="AB333" s="97">
        <f>IF(C333=2012, AA333/3,AA333)+Z333</f>
        <v>3</v>
      </c>
      <c r="AC333" s="22"/>
      <c r="AD333" s="215"/>
      <c r="AE333" s="215"/>
      <c r="AF333" s="215"/>
      <c r="AG333" s="215"/>
      <c r="AH333" s="215"/>
      <c r="AI333" s="120"/>
      <c r="AJ333" s="96">
        <f>SUM(AD333:AH333)</f>
        <v>0</v>
      </c>
      <c r="AK333" s="97">
        <f>IF(C333=2011, AJ333/3,AJ333)+AI333</f>
        <v>0</v>
      </c>
      <c r="AL333" s="22"/>
      <c r="AM333" s="41"/>
      <c r="AN333" s="41"/>
      <c r="AO333" s="41"/>
      <c r="AP333" s="41"/>
      <c r="AQ333" s="41"/>
      <c r="AR333" s="41"/>
      <c r="AT333" s="95"/>
      <c r="AU333" s="96"/>
      <c r="AV333" s="97"/>
    </row>
    <row r="334" spans="1:48" x14ac:dyDescent="0.25">
      <c r="A334" s="11" t="s">
        <v>1075</v>
      </c>
      <c r="B334" s="60" t="s">
        <v>1336</v>
      </c>
      <c r="C334" s="62">
        <v>2011</v>
      </c>
      <c r="D334" s="1">
        <f t="shared" si="74"/>
        <v>39</v>
      </c>
      <c r="F334" s="278">
        <f>8</f>
        <v>8</v>
      </c>
      <c r="I334" s="267">
        <f>12</f>
        <v>12</v>
      </c>
      <c r="J334" s="267"/>
      <c r="K334" s="267"/>
      <c r="L334" s="267">
        <f>25+2</f>
        <v>27</v>
      </c>
      <c r="M334" s="267">
        <f>0</f>
        <v>0</v>
      </c>
      <c r="N334" s="267">
        <f t="shared" si="79"/>
        <v>0</v>
      </c>
      <c r="P334" s="96">
        <f t="shared" si="75"/>
        <v>39</v>
      </c>
      <c r="Q334" s="97">
        <f t="shared" si="80"/>
        <v>39</v>
      </c>
      <c r="R334" s="267"/>
      <c r="S334" s="201"/>
      <c r="T334" s="192"/>
      <c r="U334" s="183"/>
      <c r="V334" s="168"/>
      <c r="W334" s="50"/>
      <c r="X334" s="50"/>
      <c r="Y334" s="215"/>
      <c r="Z334" s="120"/>
      <c r="AA334" s="96"/>
      <c r="AB334" s="97"/>
      <c r="AC334" s="22"/>
      <c r="AD334" s="287"/>
      <c r="AE334" s="50"/>
      <c r="AF334" s="50"/>
      <c r="AG334" s="50"/>
      <c r="AH334" s="50"/>
      <c r="AI334" s="120"/>
      <c r="AJ334" s="96"/>
      <c r="AK334" s="97"/>
      <c r="AL334" s="22"/>
      <c r="AM334" s="41"/>
      <c r="AN334" s="41"/>
      <c r="AO334" s="41"/>
      <c r="AP334" s="41"/>
      <c r="AQ334" s="41"/>
      <c r="AR334" s="41"/>
      <c r="AT334" s="95"/>
      <c r="AU334" s="96"/>
      <c r="AV334" s="97"/>
    </row>
    <row r="335" spans="1:48" x14ac:dyDescent="0.25">
      <c r="A335" s="11" t="s">
        <v>973</v>
      </c>
      <c r="B335" s="60" t="s">
        <v>938</v>
      </c>
      <c r="C335" s="62">
        <v>2011</v>
      </c>
      <c r="D335" s="1">
        <f t="shared" si="74"/>
        <v>6</v>
      </c>
      <c r="I335" s="287"/>
      <c r="J335" s="287"/>
      <c r="K335" s="287"/>
      <c r="L335" s="287"/>
      <c r="M335" s="287"/>
      <c r="N335" s="267">
        <f t="shared" si="79"/>
        <v>6</v>
      </c>
      <c r="P335" s="96">
        <f t="shared" si="75"/>
        <v>6</v>
      </c>
      <c r="Q335" s="97">
        <f t="shared" si="80"/>
        <v>6</v>
      </c>
      <c r="R335" s="287"/>
      <c r="S335" s="201"/>
      <c r="T335" s="201">
        <f>6</f>
        <v>6</v>
      </c>
      <c r="U335" s="201"/>
      <c r="V335" s="201"/>
      <c r="W335" s="201"/>
      <c r="X335" s="201"/>
      <c r="Y335" s="215">
        <f>AK335</f>
        <v>0</v>
      </c>
      <c r="Z335" s="120"/>
      <c r="AA335" s="96">
        <f>S335+T335+U335+V335+W335+X335+Y335</f>
        <v>6</v>
      </c>
      <c r="AB335" s="97">
        <f>IF(C335=2012, AA335/3,AA335)+Z335</f>
        <v>6</v>
      </c>
      <c r="AC335" s="22"/>
      <c r="AD335" s="287"/>
      <c r="AE335" s="201"/>
      <c r="AF335" s="201"/>
      <c r="AG335" s="201"/>
      <c r="AH335" s="201"/>
      <c r="AI335" s="120"/>
      <c r="AJ335" s="96">
        <f>SUM(AD335:AH335)</f>
        <v>0</v>
      </c>
      <c r="AK335" s="97">
        <f>IF(C335=2011, AJ335/3,AJ335)+AI335</f>
        <v>0</v>
      </c>
      <c r="AL335" s="22"/>
      <c r="AM335" s="41"/>
      <c r="AN335" s="41"/>
      <c r="AO335" s="41"/>
      <c r="AP335" s="41"/>
      <c r="AQ335" s="41"/>
      <c r="AR335" s="41"/>
      <c r="AT335" s="95"/>
      <c r="AU335" s="96"/>
      <c r="AV335" s="97"/>
    </row>
    <row r="336" spans="1:48" x14ac:dyDescent="0.25">
      <c r="A336" s="11" t="s">
        <v>334</v>
      </c>
      <c r="B336" s="60" t="s">
        <v>6</v>
      </c>
      <c r="C336" s="62">
        <v>2011</v>
      </c>
      <c r="D336" s="1">
        <f t="shared" ref="D336:D399" si="85">Q336+E336</f>
        <v>52.666666666666664</v>
      </c>
      <c r="I336" s="287"/>
      <c r="J336" s="287"/>
      <c r="K336" s="287"/>
      <c r="L336" s="287"/>
      <c r="M336" s="287"/>
      <c r="N336" s="267">
        <f t="shared" si="79"/>
        <v>52.666666666666664</v>
      </c>
      <c r="P336" s="96">
        <f t="shared" ref="P336:P399" si="86">I336+J336+K336+L336+N336</f>
        <v>52.666666666666664</v>
      </c>
      <c r="Q336" s="97">
        <f t="shared" si="80"/>
        <v>52.666666666666664</v>
      </c>
      <c r="R336" s="287"/>
      <c r="S336" s="215"/>
      <c r="T336" s="215"/>
      <c r="U336" s="215"/>
      <c r="V336" s="215">
        <f>0</f>
        <v>0</v>
      </c>
      <c r="W336" s="215"/>
      <c r="X336" s="215"/>
      <c r="Y336" s="215">
        <f>AK336</f>
        <v>52.666666666666664</v>
      </c>
      <c r="Z336" s="120"/>
      <c r="AA336" s="96">
        <f>S336+T336+U336+V336+W336+X336+Y336</f>
        <v>52.666666666666664</v>
      </c>
      <c r="AB336" s="97">
        <f>IF(C336=2012, AA336/3,AA336)+Z336</f>
        <v>52.666666666666664</v>
      </c>
      <c r="AC336" s="267"/>
      <c r="AD336" s="252"/>
      <c r="AE336" s="50"/>
      <c r="AF336" s="50"/>
      <c r="AG336" s="50"/>
      <c r="AH336" s="50">
        <f>AV336</f>
        <v>158</v>
      </c>
      <c r="AI336" s="120"/>
      <c r="AJ336" s="96">
        <f>SUM(AD336:AH336)</f>
        <v>158</v>
      </c>
      <c r="AK336" s="97">
        <f>IF(C336=2011, AJ336/3,AJ336)+AI336</f>
        <v>52.666666666666664</v>
      </c>
      <c r="AL336" s="22"/>
      <c r="AM336" s="267"/>
      <c r="AN336" s="267"/>
      <c r="AO336" s="267"/>
      <c r="AP336" s="267">
        <f>18</f>
        <v>18</v>
      </c>
      <c r="AQ336" s="267">
        <f>0</f>
        <v>0</v>
      </c>
      <c r="AR336" s="267">
        <f>0</f>
        <v>0</v>
      </c>
      <c r="AS336" s="265">
        <f>140</f>
        <v>140</v>
      </c>
      <c r="AT336" s="95"/>
      <c r="AU336" s="96">
        <f>SUM(AM336:AS336)</f>
        <v>158</v>
      </c>
      <c r="AV336" s="97">
        <f>IF(C336=2015, AU336/3,AU336)+AT336</f>
        <v>158</v>
      </c>
    </row>
    <row r="337" spans="1:67" x14ac:dyDescent="0.25">
      <c r="A337" s="11" t="s">
        <v>1192</v>
      </c>
      <c r="B337" s="87" t="s">
        <v>87</v>
      </c>
      <c r="C337" s="3">
        <v>2010</v>
      </c>
      <c r="D337" s="1">
        <f t="shared" si="85"/>
        <v>33</v>
      </c>
      <c r="E337" s="154"/>
      <c r="F337" s="154"/>
      <c r="J337" s="256"/>
      <c r="K337" s="256"/>
      <c r="L337" s="256">
        <f>0</f>
        <v>0</v>
      </c>
      <c r="M337" s="256"/>
      <c r="N337" s="267">
        <f t="shared" si="79"/>
        <v>0</v>
      </c>
      <c r="O337" s="120">
        <f>33</f>
        <v>33</v>
      </c>
      <c r="P337" s="96">
        <f t="shared" si="86"/>
        <v>0</v>
      </c>
      <c r="Q337" s="97">
        <f t="shared" si="80"/>
        <v>33</v>
      </c>
      <c r="R337" s="256"/>
    </row>
    <row r="338" spans="1:67" x14ac:dyDescent="0.25">
      <c r="A338" s="71" t="s">
        <v>818</v>
      </c>
      <c r="B338" s="71" t="s">
        <v>583</v>
      </c>
      <c r="C338" s="72">
        <v>2013</v>
      </c>
      <c r="D338" s="1">
        <f t="shared" si="85"/>
        <v>1</v>
      </c>
      <c r="E338" s="154"/>
      <c r="F338" s="154"/>
      <c r="N338" s="267">
        <f t="shared" si="79"/>
        <v>3</v>
      </c>
      <c r="P338" s="96">
        <f t="shared" si="86"/>
        <v>3</v>
      </c>
      <c r="Q338" s="97">
        <f t="shared" si="80"/>
        <v>1</v>
      </c>
      <c r="S338" s="201"/>
      <c r="T338" s="201"/>
      <c r="U338" s="201"/>
      <c r="V338" s="201"/>
      <c r="W338" s="201"/>
      <c r="X338" s="201">
        <f>3</f>
        <v>3</v>
      </c>
      <c r="Y338" s="215">
        <f t="shared" ref="Y338:Y343" si="87">AK338</f>
        <v>0</v>
      </c>
      <c r="Z338" s="152"/>
      <c r="AA338" s="96">
        <f>AM338+S338+T338+U338+V338+W338+X338+Y338</f>
        <v>3</v>
      </c>
      <c r="AB338" s="97">
        <f>IF(C338=2017, AA338/3,AA338)+Z338</f>
        <v>3</v>
      </c>
      <c r="AC338" s="290"/>
      <c r="AD338" s="290"/>
      <c r="AE338" s="201"/>
      <c r="AF338" s="201"/>
      <c r="AG338" s="201"/>
      <c r="AH338" s="201"/>
      <c r="AI338" s="120"/>
      <c r="AJ338" s="96">
        <f>SUM(AE338:AH338)</f>
        <v>0</v>
      </c>
      <c r="AK338" s="97">
        <f>IF(C338=2016, AJ338/3,AJ338)+AI338</f>
        <v>0</v>
      </c>
      <c r="AL338" s="22"/>
      <c r="AM338" s="252"/>
      <c r="AN338" s="252"/>
      <c r="AO338" s="252"/>
      <c r="AP338" s="252"/>
      <c r="AQ338" s="252"/>
      <c r="AR338" s="252"/>
      <c r="AS338" s="251"/>
      <c r="AT338" s="95"/>
      <c r="AU338" s="96"/>
      <c r="AV338" s="97"/>
    </row>
    <row r="339" spans="1:67" x14ac:dyDescent="0.25">
      <c r="A339" s="11" t="s">
        <v>538</v>
      </c>
      <c r="B339" s="60" t="s">
        <v>7</v>
      </c>
      <c r="C339" s="62">
        <v>2012</v>
      </c>
      <c r="D339" s="1">
        <f t="shared" si="85"/>
        <v>9</v>
      </c>
      <c r="E339" s="154"/>
      <c r="F339" s="154"/>
      <c r="J339" s="256"/>
      <c r="K339" s="256"/>
      <c r="L339" s="256"/>
      <c r="M339" s="256"/>
      <c r="N339" s="267">
        <f t="shared" si="79"/>
        <v>9</v>
      </c>
      <c r="P339" s="96">
        <f t="shared" si="86"/>
        <v>9</v>
      </c>
      <c r="Q339" s="97">
        <f t="shared" si="80"/>
        <v>9</v>
      </c>
      <c r="R339" s="256"/>
      <c r="S339" s="201"/>
      <c r="T339" s="192"/>
      <c r="U339" s="183"/>
      <c r="V339" s="183"/>
      <c r="W339" s="183">
        <f>0</f>
        <v>0</v>
      </c>
      <c r="X339" s="183"/>
      <c r="Y339" s="215">
        <f t="shared" si="87"/>
        <v>27</v>
      </c>
      <c r="Z339" s="120"/>
      <c r="AA339" s="96">
        <f>S339+T339+U339+V339+W339+X339+Y339</f>
        <v>27</v>
      </c>
      <c r="AB339" s="97">
        <f>IF(C339=2012, AA339/3,AA339)+Z339</f>
        <v>9</v>
      </c>
      <c r="AC339" s="290"/>
      <c r="AD339" s="290"/>
      <c r="AE339" s="183">
        <f>0+24</f>
        <v>24</v>
      </c>
      <c r="AF339" s="183"/>
      <c r="AG339" s="183">
        <f>0+1</f>
        <v>1</v>
      </c>
      <c r="AH339" s="183">
        <f>AV339</f>
        <v>2</v>
      </c>
      <c r="AI339" s="120"/>
      <c r="AJ339" s="96">
        <f>SUM(AD339:AH339)</f>
        <v>27</v>
      </c>
      <c r="AK339" s="97">
        <f>IF(C339=2011, AJ339/3,AJ339)+AI339</f>
        <v>27</v>
      </c>
      <c r="AL339" s="22"/>
      <c r="AM339" s="287"/>
      <c r="AN339" s="287"/>
      <c r="AO339" s="287"/>
      <c r="AP339" s="287"/>
      <c r="AQ339" s="287"/>
      <c r="AR339" s="287">
        <f>2</f>
        <v>2</v>
      </c>
      <c r="AS339" s="285"/>
      <c r="AT339" s="95"/>
      <c r="AU339" s="96">
        <f>SUM(AM339:AS339)</f>
        <v>2</v>
      </c>
      <c r="AV339" s="97">
        <f>IF(C339=2015, AU339/3,AU339)+AT339</f>
        <v>2</v>
      </c>
    </row>
    <row r="340" spans="1:67" x14ac:dyDescent="0.25">
      <c r="A340" s="60" t="s">
        <v>695</v>
      </c>
      <c r="B340" s="65" t="s">
        <v>63</v>
      </c>
      <c r="C340" s="62">
        <v>2010</v>
      </c>
      <c r="D340" s="1">
        <f t="shared" si="85"/>
        <v>183</v>
      </c>
      <c r="E340" s="154"/>
      <c r="F340" s="154"/>
      <c r="I340" s="154"/>
      <c r="J340" s="154">
        <f>34</f>
        <v>34</v>
      </c>
      <c r="K340" s="154">
        <f>10</f>
        <v>10</v>
      </c>
      <c r="L340" s="154"/>
      <c r="M340" s="154"/>
      <c r="N340" s="267">
        <f t="shared" si="79"/>
        <v>139</v>
      </c>
      <c r="P340" s="96">
        <f t="shared" si="86"/>
        <v>183</v>
      </c>
      <c r="Q340" s="97">
        <f t="shared" si="80"/>
        <v>183</v>
      </c>
      <c r="R340" s="154"/>
      <c r="S340" s="201">
        <f>0</f>
        <v>0</v>
      </c>
      <c r="T340" s="192">
        <f>8</f>
        <v>8</v>
      </c>
      <c r="U340" s="183">
        <f>8</f>
        <v>8</v>
      </c>
      <c r="V340" s="168">
        <f>16+6</f>
        <v>22</v>
      </c>
      <c r="W340" s="168">
        <f>38+6</f>
        <v>44</v>
      </c>
      <c r="X340" s="168">
        <f>0+9</f>
        <v>9</v>
      </c>
      <c r="Y340" s="215">
        <f t="shared" si="87"/>
        <v>48</v>
      </c>
      <c r="Z340" s="120"/>
      <c r="AA340" s="96">
        <f>S340+T340+U340+V340+W340+X340+Y340</f>
        <v>139</v>
      </c>
      <c r="AB340" s="97">
        <f>IF(C340=2012, AA340/3,AA340)+Z340</f>
        <v>139</v>
      </c>
      <c r="AC340" s="22"/>
      <c r="AD340" s="287">
        <f>24+2</f>
        <v>26</v>
      </c>
      <c r="AE340" s="168">
        <f>16+6</f>
        <v>22</v>
      </c>
      <c r="AF340" s="168"/>
      <c r="AG340" s="168"/>
      <c r="AH340" s="168"/>
      <c r="AI340" s="120"/>
      <c r="AJ340" s="96">
        <f>SUM(AD340:AH340)</f>
        <v>48</v>
      </c>
      <c r="AK340" s="97">
        <f>IF(C340=2011, AJ340/3,AJ340)+AI340</f>
        <v>48</v>
      </c>
      <c r="AL340" s="22"/>
      <c r="AT340" s="95"/>
      <c r="AU340" s="96"/>
      <c r="AV340" s="97"/>
    </row>
    <row r="341" spans="1:67" x14ac:dyDescent="0.25">
      <c r="A341" s="71" t="s">
        <v>1035</v>
      </c>
      <c r="B341" s="71" t="s">
        <v>86</v>
      </c>
      <c r="C341" s="72">
        <v>2013</v>
      </c>
      <c r="D341" s="1">
        <f t="shared" si="85"/>
        <v>15</v>
      </c>
      <c r="L341" s="228">
        <f>45</f>
        <v>45</v>
      </c>
      <c r="N341" s="267">
        <f t="shared" si="79"/>
        <v>0</v>
      </c>
      <c r="P341" s="96">
        <f t="shared" si="86"/>
        <v>45</v>
      </c>
      <c r="Q341" s="97">
        <f t="shared" si="80"/>
        <v>15</v>
      </c>
      <c r="S341" s="201">
        <f>0</f>
        <v>0</v>
      </c>
      <c r="T341" s="192"/>
      <c r="U341" s="183"/>
      <c r="V341" s="168"/>
      <c r="W341" s="50"/>
      <c r="X341" s="50"/>
      <c r="Y341" s="215">
        <f t="shared" si="87"/>
        <v>0</v>
      </c>
      <c r="Z341" s="152"/>
      <c r="AA341" s="96">
        <f>AM341+S341+T341+U341+V341+W341+X341+Y341</f>
        <v>0</v>
      </c>
      <c r="AB341" s="97">
        <f>IF(C341=2017, AA341/3,AA341)+Z341</f>
        <v>0</v>
      </c>
      <c r="AE341" s="50"/>
      <c r="AF341" s="50"/>
      <c r="AG341" s="50"/>
      <c r="AH341" s="50"/>
      <c r="AI341" s="120"/>
      <c r="AJ341" s="96">
        <f>SUM(AE341:AH341)</f>
        <v>0</v>
      </c>
      <c r="AK341" s="97">
        <f>IF(C341=2016, AJ341/3,AJ341)+AI341</f>
        <v>0</v>
      </c>
      <c r="AL341" s="22"/>
      <c r="AM341" s="231"/>
      <c r="AN341" s="231"/>
      <c r="AO341" s="231"/>
      <c r="AP341" s="231"/>
      <c r="AQ341" s="231"/>
      <c r="AR341" s="231"/>
      <c r="AS341" s="234"/>
      <c r="AT341" s="95"/>
      <c r="AU341" s="96"/>
      <c r="AV341" s="97"/>
    </row>
    <row r="342" spans="1:67" x14ac:dyDescent="0.25">
      <c r="A342" s="11" t="s">
        <v>118</v>
      </c>
      <c r="B342" s="60" t="s">
        <v>111</v>
      </c>
      <c r="C342" s="62">
        <v>2010</v>
      </c>
      <c r="D342" s="1">
        <f t="shared" si="85"/>
        <v>178.33333333333331</v>
      </c>
      <c r="N342" s="267">
        <f t="shared" si="79"/>
        <v>178.33333333333331</v>
      </c>
      <c r="P342" s="96">
        <f t="shared" si="86"/>
        <v>178.33333333333331</v>
      </c>
      <c r="Q342" s="97">
        <f t="shared" si="80"/>
        <v>178.33333333333331</v>
      </c>
      <c r="S342" s="201"/>
      <c r="T342" s="192"/>
      <c r="U342" s="183"/>
      <c r="V342" s="168"/>
      <c r="W342" s="50"/>
      <c r="X342" s="50"/>
      <c r="Y342" s="215">
        <f t="shared" si="87"/>
        <v>178.33333333333331</v>
      </c>
      <c r="Z342" s="120"/>
      <c r="AA342" s="96">
        <f>S342+T342+U342+V342+W342+X342+Y342</f>
        <v>178.33333333333331</v>
      </c>
      <c r="AB342" s="97">
        <f>IF(C342=2012, AA342/3,AA342)+Z342</f>
        <v>178.33333333333331</v>
      </c>
      <c r="AC342" s="22"/>
      <c r="AD342" s="215"/>
      <c r="AE342" s="50">
        <f>22</f>
        <v>22</v>
      </c>
      <c r="AF342" s="50">
        <f>44+13</f>
        <v>57</v>
      </c>
      <c r="AG342" s="50">
        <f>30</f>
        <v>30</v>
      </c>
      <c r="AH342" s="50">
        <f>AV342</f>
        <v>69.333333333333329</v>
      </c>
      <c r="AI342" s="120"/>
      <c r="AJ342" s="96">
        <f>SUM(AD342:AH342)</f>
        <v>178.33333333333331</v>
      </c>
      <c r="AK342" s="97">
        <f>IF(C342=2011, AJ342/3,AJ342)+AI342</f>
        <v>178.33333333333331</v>
      </c>
      <c r="AL342" s="22"/>
      <c r="AM342" s="41"/>
      <c r="AN342" s="41">
        <v>35</v>
      </c>
      <c r="AO342" s="41"/>
      <c r="AP342" s="41">
        <f>54+5</f>
        <v>59</v>
      </c>
      <c r="AQ342" s="41">
        <f>50</f>
        <v>50</v>
      </c>
      <c r="AR342" s="41">
        <f>52</f>
        <v>52</v>
      </c>
      <c r="AT342" s="95">
        <f>1+3</f>
        <v>4</v>
      </c>
      <c r="AU342" s="96">
        <f>SUM(AM342:AS342)</f>
        <v>196</v>
      </c>
      <c r="AV342" s="97">
        <f>IF(C342=2010, AU342/3,AU342)+AT342</f>
        <v>69.333333333333329</v>
      </c>
    </row>
    <row r="343" spans="1:67" x14ac:dyDescent="0.25">
      <c r="A343" s="71" t="s">
        <v>843</v>
      </c>
      <c r="B343" s="71" t="s">
        <v>85</v>
      </c>
      <c r="C343" s="72">
        <v>2012</v>
      </c>
      <c r="D343" s="1">
        <f t="shared" si="85"/>
        <v>17.666666666666668</v>
      </c>
      <c r="I343" s="154"/>
      <c r="J343" s="154"/>
      <c r="K343" s="154"/>
      <c r="L343" s="154"/>
      <c r="M343" s="154"/>
      <c r="N343" s="267">
        <f t="shared" si="79"/>
        <v>17.666666666666668</v>
      </c>
      <c r="P343" s="96">
        <f t="shared" si="86"/>
        <v>17.666666666666668</v>
      </c>
      <c r="Q343" s="97">
        <f t="shared" si="80"/>
        <v>17.666666666666668</v>
      </c>
      <c r="R343" s="154"/>
      <c r="S343" s="228"/>
      <c r="T343" s="228"/>
      <c r="U343" s="228"/>
      <c r="V343" s="228"/>
      <c r="W343" s="228">
        <f>50+3</f>
        <v>53</v>
      </c>
      <c r="X343" s="228"/>
      <c r="Y343" s="228">
        <f t="shared" si="87"/>
        <v>0</v>
      </c>
      <c r="Z343" s="152"/>
      <c r="AA343" s="96">
        <f>S343+T343+U343+V343+W343+X343+Y343</f>
        <v>53</v>
      </c>
      <c r="AB343" s="97">
        <f>IF(C343=2012, AA343/3,AA343)+Z343</f>
        <v>17.666666666666668</v>
      </c>
      <c r="AE343" s="228"/>
      <c r="AF343" s="228"/>
      <c r="AG343" s="228"/>
      <c r="AH343" s="228"/>
      <c r="AI343" s="120"/>
      <c r="AJ343" s="96">
        <f>SUM(AD343:AH343)</f>
        <v>0</v>
      </c>
      <c r="AK343" s="97">
        <f>IF(C343=2011, AJ343/3,AJ343)+AI343</f>
        <v>0</v>
      </c>
      <c r="AL343" s="22"/>
      <c r="AM343" s="287"/>
      <c r="AN343" s="287"/>
      <c r="AO343" s="287"/>
      <c r="AP343" s="287"/>
      <c r="AQ343" s="287"/>
      <c r="AR343" s="287"/>
      <c r="AS343" s="285"/>
      <c r="AT343" s="95"/>
      <c r="AU343" s="96"/>
      <c r="AV343" s="97"/>
    </row>
    <row r="344" spans="1:67" s="17" customFormat="1" x14ac:dyDescent="0.25">
      <c r="A344" s="11" t="s">
        <v>1166</v>
      </c>
      <c r="B344" s="87" t="s">
        <v>87</v>
      </c>
      <c r="C344" s="3">
        <v>2012</v>
      </c>
      <c r="D344" s="1">
        <f t="shared" si="85"/>
        <v>3</v>
      </c>
      <c r="E344" s="283"/>
      <c r="F344" s="278"/>
      <c r="G344" s="120"/>
      <c r="H344" s="13"/>
      <c r="I344" s="287"/>
      <c r="J344" s="287"/>
      <c r="K344" s="287"/>
      <c r="L344" s="287">
        <f>3</f>
        <v>3</v>
      </c>
      <c r="M344" s="287"/>
      <c r="N344" s="267">
        <f t="shared" si="79"/>
        <v>0</v>
      </c>
      <c r="O344" s="120"/>
      <c r="P344" s="96">
        <f t="shared" si="86"/>
        <v>3</v>
      </c>
      <c r="Q344" s="97">
        <f t="shared" si="80"/>
        <v>3</v>
      </c>
      <c r="R344" s="287"/>
      <c r="S344" s="154"/>
      <c r="T344" s="154"/>
      <c r="U344" s="154"/>
      <c r="V344" s="154"/>
      <c r="W344" s="154"/>
      <c r="X344" s="154"/>
      <c r="Y344" s="154"/>
      <c r="Z344" s="13"/>
      <c r="AA344" s="3"/>
      <c r="AB344" s="3"/>
      <c r="AC344" s="13"/>
      <c r="AD344" s="13"/>
      <c r="AE344" s="13"/>
      <c r="AF344" s="13"/>
      <c r="AG344" s="13"/>
      <c r="AH344" s="13"/>
      <c r="AI344" s="13"/>
      <c r="AJ344" s="3"/>
      <c r="AK344" s="3"/>
      <c r="AL344" s="13"/>
      <c r="AM344" s="13"/>
      <c r="AN344" s="13"/>
      <c r="AO344" s="13"/>
      <c r="AP344" s="13"/>
      <c r="AQ344" s="13"/>
      <c r="AR344" s="13"/>
      <c r="AS344" s="1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spans="1:67" x14ac:dyDescent="0.25">
      <c r="A345" s="71" t="s">
        <v>817</v>
      </c>
      <c r="B345" s="71" t="s">
        <v>583</v>
      </c>
      <c r="C345" s="72">
        <v>2013</v>
      </c>
      <c r="D345" s="1">
        <f t="shared" si="85"/>
        <v>1</v>
      </c>
      <c r="I345" s="267"/>
      <c r="J345" s="267"/>
      <c r="K345" s="267"/>
      <c r="L345" s="267"/>
      <c r="M345" s="267"/>
      <c r="N345" s="267">
        <f t="shared" si="79"/>
        <v>3</v>
      </c>
      <c r="P345" s="96">
        <f t="shared" si="86"/>
        <v>3</v>
      </c>
      <c r="Q345" s="97">
        <f t="shared" si="80"/>
        <v>1</v>
      </c>
      <c r="R345" s="267"/>
      <c r="S345" s="201"/>
      <c r="T345" s="201"/>
      <c r="U345" s="201"/>
      <c r="V345" s="201"/>
      <c r="W345" s="201"/>
      <c r="X345" s="201">
        <f>3</f>
        <v>3</v>
      </c>
      <c r="Y345" s="215">
        <f t="shared" ref="Y345:Y350" si="88">AK345</f>
        <v>0</v>
      </c>
      <c r="Z345" s="152"/>
      <c r="AA345" s="96">
        <f>AM345+S345+T345+U345+V345+W345+X345+Y345</f>
        <v>3</v>
      </c>
      <c r="AB345" s="97">
        <f>IF(C345=2017, AA345/3,AA345)+Z345</f>
        <v>3</v>
      </c>
      <c r="AC345" s="290"/>
      <c r="AD345" s="290"/>
      <c r="AE345" s="192"/>
      <c r="AF345" s="192"/>
      <c r="AG345" s="192"/>
      <c r="AH345" s="192"/>
      <c r="AI345" s="120"/>
      <c r="AJ345" s="96">
        <f>SUM(AE345:AH345)</f>
        <v>0</v>
      </c>
      <c r="AK345" s="97">
        <f>IF(C345=2016, AJ345/3,AJ345)+AI345</f>
        <v>0</v>
      </c>
      <c r="AL345" s="22"/>
      <c r="AM345" s="287"/>
      <c r="AN345" s="287"/>
      <c r="AO345" s="287"/>
      <c r="AP345" s="287"/>
      <c r="AQ345" s="287"/>
      <c r="AR345" s="287"/>
      <c r="AS345" s="285"/>
      <c r="AT345" s="95"/>
      <c r="AU345" s="96"/>
      <c r="AV345" s="97"/>
    </row>
    <row r="346" spans="1:67" x14ac:dyDescent="0.25">
      <c r="A346" s="11" t="s">
        <v>243</v>
      </c>
      <c r="B346" s="11" t="s">
        <v>241</v>
      </c>
      <c r="C346" s="3">
        <v>2010</v>
      </c>
      <c r="D346" s="1">
        <f t="shared" si="85"/>
        <v>10.666666666666666</v>
      </c>
      <c r="N346" s="267">
        <f t="shared" si="79"/>
        <v>10.666666666666666</v>
      </c>
      <c r="P346" s="96">
        <f t="shared" si="86"/>
        <v>10.666666666666666</v>
      </c>
      <c r="Q346" s="97">
        <f t="shared" si="80"/>
        <v>10.666666666666666</v>
      </c>
      <c r="S346" s="201"/>
      <c r="T346" s="201"/>
      <c r="U346" s="201"/>
      <c r="V346" s="201"/>
      <c r="W346" s="201"/>
      <c r="X346" s="201"/>
      <c r="Y346" s="215">
        <f t="shared" si="88"/>
        <v>10.666666666666666</v>
      </c>
      <c r="Z346" s="120"/>
      <c r="AA346" s="96">
        <f>S346+T346+U346+V346+W346+X346+Y346</f>
        <v>10.666666666666666</v>
      </c>
      <c r="AB346" s="97">
        <f>IF(C346=2012, AA346/3,AA346)+Z346</f>
        <v>10.666666666666666</v>
      </c>
      <c r="AC346" s="22"/>
      <c r="AD346" s="252"/>
      <c r="AE346" s="192"/>
      <c r="AF346" s="192"/>
      <c r="AG346" s="192"/>
      <c r="AH346" s="192">
        <f>AV346</f>
        <v>10.666666666666666</v>
      </c>
      <c r="AI346" s="120"/>
      <c r="AJ346" s="96">
        <f>SUM(AD346:AH346)</f>
        <v>10.666666666666666</v>
      </c>
      <c r="AK346" s="97">
        <f>IF(C346=2011, AJ346/3,AJ346)+AI346</f>
        <v>10.666666666666666</v>
      </c>
      <c r="AL346" s="22"/>
      <c r="AM346" s="287"/>
      <c r="AN346" s="287"/>
      <c r="AO346" s="287">
        <f>18</f>
        <v>18</v>
      </c>
      <c r="AP346" s="287"/>
      <c r="AQ346" s="287"/>
      <c r="AR346" s="287"/>
      <c r="AS346" s="285">
        <f>14</f>
        <v>14</v>
      </c>
      <c r="AT346" s="95"/>
      <c r="AU346" s="96">
        <f>SUM(AM346:AS346)</f>
        <v>32</v>
      </c>
      <c r="AV346" s="97">
        <f>IF(C346=2010, AU346/3,AU346)+AT346</f>
        <v>10.666666666666666</v>
      </c>
    </row>
    <row r="347" spans="1:67" x14ac:dyDescent="0.25">
      <c r="A347" s="60" t="s">
        <v>641</v>
      </c>
      <c r="B347" s="65" t="s">
        <v>296</v>
      </c>
      <c r="C347" s="62">
        <v>2010</v>
      </c>
      <c r="D347" s="1">
        <f t="shared" si="85"/>
        <v>27</v>
      </c>
      <c r="M347" s="228"/>
      <c r="N347" s="267">
        <f t="shared" si="79"/>
        <v>27</v>
      </c>
      <c r="P347" s="96">
        <f t="shared" si="86"/>
        <v>27</v>
      </c>
      <c r="Q347" s="97">
        <f t="shared" si="80"/>
        <v>27</v>
      </c>
      <c r="R347" s="228"/>
      <c r="S347" s="228"/>
      <c r="T347" s="228"/>
      <c r="U347" s="228"/>
      <c r="V347" s="228"/>
      <c r="W347" s="228"/>
      <c r="X347" s="228"/>
      <c r="Y347" s="228">
        <f t="shared" si="88"/>
        <v>27</v>
      </c>
      <c r="Z347" s="120"/>
      <c r="AA347" s="96">
        <f>S347+T347+U347+V347+W347+X347+Y347</f>
        <v>27</v>
      </c>
      <c r="AB347" s="97">
        <f>IF(C347=2012, AA347/3,AA347)+Z347</f>
        <v>27</v>
      </c>
      <c r="AC347" s="22"/>
      <c r="AD347" s="287"/>
      <c r="AE347" s="228">
        <f>5</f>
        <v>5</v>
      </c>
      <c r="AF347" s="228">
        <f>22</f>
        <v>22</v>
      </c>
      <c r="AG347" s="228"/>
      <c r="AH347" s="228"/>
      <c r="AI347" s="120"/>
      <c r="AJ347" s="96">
        <f>SUM(AD347:AH347)</f>
        <v>27</v>
      </c>
      <c r="AK347" s="97">
        <f>IF(C347=2011, AJ347/3,AJ347)+AI347</f>
        <v>27</v>
      </c>
      <c r="AL347" s="22"/>
      <c r="AT347" s="95"/>
      <c r="AU347" s="96"/>
      <c r="AV347" s="97"/>
    </row>
    <row r="348" spans="1:67" x14ac:dyDescent="0.25">
      <c r="A348" s="71" t="s">
        <v>245</v>
      </c>
      <c r="B348" s="71" t="s">
        <v>231</v>
      </c>
      <c r="C348" s="72">
        <v>2010</v>
      </c>
      <c r="D348" s="1">
        <f t="shared" si="85"/>
        <v>20.666666666666668</v>
      </c>
      <c r="N348" s="267">
        <f t="shared" si="79"/>
        <v>20.666666666666668</v>
      </c>
      <c r="P348" s="96">
        <f t="shared" si="86"/>
        <v>20.666666666666668</v>
      </c>
      <c r="Q348" s="97">
        <f t="shared" si="80"/>
        <v>20.666666666666668</v>
      </c>
      <c r="S348" s="228"/>
      <c r="T348" s="228"/>
      <c r="U348" s="228"/>
      <c r="V348" s="228"/>
      <c r="W348" s="228"/>
      <c r="X348" s="228"/>
      <c r="Y348" s="215">
        <f t="shared" si="88"/>
        <v>20.666666666666668</v>
      </c>
      <c r="Z348" s="120"/>
      <c r="AA348" s="96">
        <f>S348+T348+U348+V348+W348+X348+Y348</f>
        <v>20.666666666666668</v>
      </c>
      <c r="AB348" s="97">
        <f>IF(C348=2012, AA348/3,AA348)+Z348</f>
        <v>20.666666666666668</v>
      </c>
      <c r="AC348" s="22"/>
      <c r="AD348" s="228"/>
      <c r="AE348" s="192"/>
      <c r="AF348" s="192">
        <f>0</f>
        <v>0</v>
      </c>
      <c r="AG348" s="192">
        <f>0</f>
        <v>0</v>
      </c>
      <c r="AH348" s="192">
        <f>AV348</f>
        <v>20.666666666666668</v>
      </c>
      <c r="AI348" s="120"/>
      <c r="AJ348" s="96">
        <f>SUM(AD348:AH348)</f>
        <v>20.666666666666668</v>
      </c>
      <c r="AK348" s="97">
        <f>IF(C348=2011, AJ348/3,AJ348)+AI348</f>
        <v>20.666666666666668</v>
      </c>
      <c r="AL348" s="22"/>
      <c r="AM348" s="267"/>
      <c r="AN348" s="267"/>
      <c r="AO348" s="267">
        <f>36</f>
        <v>36</v>
      </c>
      <c r="AP348" s="267">
        <f>26</f>
        <v>26</v>
      </c>
      <c r="AQ348" s="267"/>
      <c r="AR348" s="267">
        <f>0</f>
        <v>0</v>
      </c>
      <c r="AS348" s="265"/>
      <c r="AT348" s="95"/>
      <c r="AU348" s="96">
        <f>SUM(AM348:AS348)</f>
        <v>62</v>
      </c>
      <c r="AV348" s="97">
        <f>IF(C348=2010, AU348/3,AU348)+AT348</f>
        <v>20.666666666666668</v>
      </c>
    </row>
    <row r="349" spans="1:67" x14ac:dyDescent="0.25">
      <c r="A349" s="71" t="s">
        <v>315</v>
      </c>
      <c r="B349" s="71" t="s">
        <v>63</v>
      </c>
      <c r="C349" s="72">
        <v>2010</v>
      </c>
      <c r="D349" s="1">
        <f t="shared" si="85"/>
        <v>0</v>
      </c>
      <c r="N349" s="267">
        <f t="shared" si="79"/>
        <v>0</v>
      </c>
      <c r="P349" s="96">
        <f t="shared" si="86"/>
        <v>0</v>
      </c>
      <c r="Q349" s="97">
        <f t="shared" si="80"/>
        <v>0</v>
      </c>
      <c r="S349" s="228"/>
      <c r="T349" s="228"/>
      <c r="U349" s="228"/>
      <c r="V349" s="228"/>
      <c r="W349" s="228"/>
      <c r="X349" s="228"/>
      <c r="Y349" s="215">
        <f t="shared" si="88"/>
        <v>0</v>
      </c>
      <c r="Z349" s="120"/>
      <c r="AA349" s="96">
        <f>S349+T349+U349+V349+W349+X349+Y349</f>
        <v>0</v>
      </c>
      <c r="AB349" s="97">
        <f>IF(C349=2012, AA349/3,AA349)+Z349</f>
        <v>0</v>
      </c>
      <c r="AC349" s="22"/>
      <c r="AD349" s="256"/>
      <c r="AE349" s="50"/>
      <c r="AF349" s="50"/>
      <c r="AG349" s="50"/>
      <c r="AH349" s="50">
        <f>AV349</f>
        <v>0</v>
      </c>
      <c r="AI349" s="120"/>
      <c r="AJ349" s="96">
        <f>SUM(AD349:AH349)</f>
        <v>0</v>
      </c>
      <c r="AK349" s="97">
        <f>IF(C349=2011, AJ349/3,AJ349)+AI349</f>
        <v>0</v>
      </c>
      <c r="AL349" s="22"/>
      <c r="AM349" s="287"/>
      <c r="AN349" s="287"/>
      <c r="AO349" s="287"/>
      <c r="AP349" s="287">
        <f>0</f>
        <v>0</v>
      </c>
      <c r="AQ349" s="287"/>
      <c r="AR349" s="287"/>
      <c r="AS349" s="285"/>
      <c r="AT349" s="95"/>
      <c r="AU349" s="96">
        <f>SUM(AM349:AS349)</f>
        <v>0</v>
      </c>
      <c r="AV349" s="97">
        <f>IF(C349=2010, AU349/3,AU349)+AT349</f>
        <v>0</v>
      </c>
    </row>
    <row r="350" spans="1:67" s="17" customFormat="1" x14ac:dyDescent="0.25">
      <c r="A350" s="71" t="s">
        <v>1002</v>
      </c>
      <c r="B350" s="71" t="s">
        <v>86</v>
      </c>
      <c r="C350" s="72">
        <v>2013</v>
      </c>
      <c r="D350" s="1">
        <f t="shared" si="85"/>
        <v>0</v>
      </c>
      <c r="E350" s="283"/>
      <c r="F350" s="278"/>
      <c r="G350" s="120"/>
      <c r="H350" s="13"/>
      <c r="I350" s="267"/>
      <c r="J350" s="267"/>
      <c r="K350" s="267"/>
      <c r="L350" s="267"/>
      <c r="M350" s="267"/>
      <c r="N350" s="267">
        <f t="shared" si="79"/>
        <v>0</v>
      </c>
      <c r="O350" s="120"/>
      <c r="P350" s="96">
        <f t="shared" si="86"/>
        <v>0</v>
      </c>
      <c r="Q350" s="97">
        <f t="shared" si="80"/>
        <v>0</v>
      </c>
      <c r="R350" s="267"/>
      <c r="S350" s="228">
        <f>0</f>
        <v>0</v>
      </c>
      <c r="T350" s="228"/>
      <c r="U350" s="228"/>
      <c r="V350" s="228"/>
      <c r="W350" s="228"/>
      <c r="X350" s="228"/>
      <c r="Y350" s="228">
        <f t="shared" si="88"/>
        <v>0</v>
      </c>
      <c r="Z350" s="152"/>
      <c r="AA350" s="96">
        <f>AM350+S350+T350+U350+V350+W350+X350+Y350</f>
        <v>0</v>
      </c>
      <c r="AB350" s="97">
        <f>IF(C350=2017, AA350/3,AA350)+Z350</f>
        <v>0</v>
      </c>
      <c r="AC350" s="13"/>
      <c r="AD350" s="13"/>
      <c r="AE350" s="228"/>
      <c r="AF350" s="228"/>
      <c r="AG350" s="228"/>
      <c r="AH350" s="228"/>
      <c r="AI350" s="120"/>
      <c r="AJ350" s="96">
        <f>SUM(AE350:AH350)</f>
        <v>0</v>
      </c>
      <c r="AK350" s="97">
        <f>IF(C350=2016, AJ350/3,AJ350)+AI350</f>
        <v>0</v>
      </c>
      <c r="AL350" s="22"/>
      <c r="AM350" s="231"/>
      <c r="AN350" s="231"/>
      <c r="AO350" s="231"/>
      <c r="AP350" s="231"/>
      <c r="AQ350" s="231"/>
      <c r="AR350" s="231"/>
      <c r="AS350" s="234"/>
      <c r="AT350" s="95"/>
      <c r="AU350" s="96"/>
      <c r="AV350" s="97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spans="1:67" ht="16.5" customHeight="1" x14ac:dyDescent="0.25">
      <c r="A351" s="11" t="s">
        <v>1159</v>
      </c>
      <c r="B351" s="60" t="s">
        <v>86</v>
      </c>
      <c r="C351" s="62">
        <v>2011</v>
      </c>
      <c r="D351" s="1">
        <f t="shared" si="85"/>
        <v>0</v>
      </c>
      <c r="I351" s="267"/>
      <c r="J351" s="267"/>
      <c r="K351" s="267"/>
      <c r="L351" s="267">
        <f>0</f>
        <v>0</v>
      </c>
      <c r="M351" s="267"/>
      <c r="N351" s="267">
        <f t="shared" si="79"/>
        <v>0</v>
      </c>
      <c r="P351" s="96">
        <f t="shared" si="86"/>
        <v>0</v>
      </c>
      <c r="Q351" s="97">
        <f t="shared" si="80"/>
        <v>0</v>
      </c>
      <c r="R351" s="267"/>
      <c r="S351" s="215"/>
      <c r="T351" s="215"/>
      <c r="U351" s="215"/>
      <c r="V351" s="215"/>
      <c r="W351" s="215"/>
      <c r="X351" s="215"/>
      <c r="Y351" s="215"/>
      <c r="Z351" s="120"/>
      <c r="AA351" s="96"/>
      <c r="AB351" s="97"/>
      <c r="AC351" s="22"/>
      <c r="AD351" s="252"/>
      <c r="AE351" s="215"/>
      <c r="AF351" s="215"/>
      <c r="AG351" s="215"/>
      <c r="AH351" s="215"/>
      <c r="AI351" s="120"/>
      <c r="AJ351" s="96"/>
      <c r="AK351" s="97"/>
      <c r="AL351" s="22"/>
      <c r="AM351" s="41"/>
      <c r="AN351" s="41"/>
      <c r="AO351" s="41"/>
      <c r="AP351" s="41"/>
      <c r="AQ351" s="41"/>
      <c r="AR351" s="41"/>
      <c r="AT351" s="95"/>
      <c r="AU351" s="96"/>
      <c r="AV351" s="97"/>
    </row>
    <row r="352" spans="1:67" ht="16.5" customHeight="1" x14ac:dyDescent="0.25">
      <c r="A352" s="71" t="s">
        <v>257</v>
      </c>
      <c r="B352" s="60" t="s">
        <v>63</v>
      </c>
      <c r="C352" s="72">
        <v>2013</v>
      </c>
      <c r="D352" s="1">
        <f t="shared" si="85"/>
        <v>38.666666666666664</v>
      </c>
      <c r="J352" s="246">
        <f>0</f>
        <v>0</v>
      </c>
      <c r="K352" s="241">
        <f>15</f>
        <v>15</v>
      </c>
      <c r="N352" s="267">
        <f t="shared" si="79"/>
        <v>101</v>
      </c>
      <c r="P352" s="96">
        <f t="shared" si="86"/>
        <v>116</v>
      </c>
      <c r="Q352" s="97">
        <f t="shared" si="80"/>
        <v>38.666666666666664</v>
      </c>
      <c r="S352" s="228">
        <f>0</f>
        <v>0</v>
      </c>
      <c r="T352" s="228"/>
      <c r="U352" s="228">
        <f>0+4</f>
        <v>4</v>
      </c>
      <c r="V352" s="228"/>
      <c r="W352" s="228">
        <f>22+3+6</f>
        <v>31</v>
      </c>
      <c r="X352" s="228">
        <f>26</f>
        <v>26</v>
      </c>
      <c r="Y352" s="228">
        <f t="shared" ref="Y352:Y360" si="89">AK352</f>
        <v>40</v>
      </c>
      <c r="Z352" s="120"/>
      <c r="AA352" s="96">
        <f>AM352+S352+T352+U352+V352+W352+X352+Y352</f>
        <v>101</v>
      </c>
      <c r="AB352" s="97">
        <f>IF(C352=2017, AA352/3,AA352)+Z352</f>
        <v>101</v>
      </c>
      <c r="AC352" s="290"/>
      <c r="AD352" s="290"/>
      <c r="AE352" s="228"/>
      <c r="AF352" s="228"/>
      <c r="AG352" s="228">
        <f>18</f>
        <v>18</v>
      </c>
      <c r="AH352" s="228">
        <f>AV352</f>
        <v>22</v>
      </c>
      <c r="AI352" s="120"/>
      <c r="AJ352" s="96">
        <f>SUM(AE352:AH352)</f>
        <v>40</v>
      </c>
      <c r="AK352" s="97">
        <f>IF(C352=2016, AJ352/3,AJ352)+AI352</f>
        <v>40</v>
      </c>
      <c r="AL352" s="22"/>
      <c r="AM352" s="287"/>
      <c r="AN352" s="287"/>
      <c r="AO352" s="287">
        <f>22</f>
        <v>22</v>
      </c>
      <c r="AP352" s="287"/>
      <c r="AQ352" s="287">
        <f>0</f>
        <v>0</v>
      </c>
      <c r="AR352" s="287"/>
      <c r="AS352" s="285"/>
      <c r="AT352" s="95"/>
      <c r="AU352" s="96">
        <f>SUM(AM352:AS352)</f>
        <v>22</v>
      </c>
      <c r="AV352" s="97">
        <f>IF(C352=2015, AU352/3,AU352)+AT352</f>
        <v>22</v>
      </c>
    </row>
    <row r="353" spans="1:67" x14ac:dyDescent="0.25">
      <c r="A353" s="11" t="s">
        <v>140</v>
      </c>
      <c r="B353" s="60" t="s">
        <v>64</v>
      </c>
      <c r="C353" s="62">
        <v>2012</v>
      </c>
      <c r="D353" s="1">
        <f t="shared" si="85"/>
        <v>2.6666666666666665</v>
      </c>
      <c r="I353" s="267"/>
      <c r="J353" s="267"/>
      <c r="K353" s="267"/>
      <c r="L353" s="267"/>
      <c r="M353" s="267"/>
      <c r="N353" s="267">
        <f t="shared" si="79"/>
        <v>2.6666666666666665</v>
      </c>
      <c r="P353" s="96">
        <f t="shared" si="86"/>
        <v>2.6666666666666665</v>
      </c>
      <c r="Q353" s="97">
        <f t="shared" si="80"/>
        <v>2.6666666666666665</v>
      </c>
      <c r="R353" s="267"/>
      <c r="S353" s="201"/>
      <c r="T353" s="201"/>
      <c r="U353" s="201"/>
      <c r="V353" s="201"/>
      <c r="W353" s="201"/>
      <c r="X353" s="201"/>
      <c r="Y353" s="215">
        <f t="shared" si="89"/>
        <v>8</v>
      </c>
      <c r="Z353" s="120"/>
      <c r="AA353" s="96">
        <f>S353+T353+U353+V353+W353+X353+Y353</f>
        <v>8</v>
      </c>
      <c r="AB353" s="97">
        <f>IF(C353=2012, AA353/3,AA353)+Z353</f>
        <v>2.6666666666666665</v>
      </c>
      <c r="AC353" s="290"/>
      <c r="AD353" s="290"/>
      <c r="AE353" s="201"/>
      <c r="AF353" s="201"/>
      <c r="AG353" s="201"/>
      <c r="AH353" s="201">
        <f>AV353</f>
        <v>8</v>
      </c>
      <c r="AI353" s="120"/>
      <c r="AJ353" s="96">
        <f>SUM(AD353:AH353)</f>
        <v>8</v>
      </c>
      <c r="AK353" s="97">
        <f>IF(C353=2011, AJ353/3,AJ353)+AI353</f>
        <v>8</v>
      </c>
      <c r="AL353" s="22"/>
      <c r="AM353" s="41"/>
      <c r="AN353" s="41">
        <v>8</v>
      </c>
      <c r="AO353" s="41"/>
      <c r="AP353" s="41"/>
      <c r="AQ353" s="41"/>
      <c r="AR353" s="41"/>
      <c r="AT353" s="95"/>
      <c r="AU353" s="96">
        <f>SUM(AM353:AS353)</f>
        <v>8</v>
      </c>
      <c r="AV353" s="97">
        <f>IF(C353=2015, AU353/3,AU353)+AT353</f>
        <v>8</v>
      </c>
    </row>
    <row r="354" spans="1:67" x14ac:dyDescent="0.25">
      <c r="A354" s="71" t="s">
        <v>832</v>
      </c>
      <c r="B354" s="71" t="s">
        <v>794</v>
      </c>
      <c r="C354" s="72">
        <v>2013</v>
      </c>
      <c r="D354" s="1">
        <f t="shared" si="85"/>
        <v>0</v>
      </c>
      <c r="I354" s="287"/>
      <c r="J354" s="287"/>
      <c r="K354" s="287"/>
      <c r="L354" s="287"/>
      <c r="M354" s="287"/>
      <c r="N354" s="267">
        <f t="shared" si="79"/>
        <v>0</v>
      </c>
      <c r="P354" s="96">
        <f t="shared" si="86"/>
        <v>0</v>
      </c>
      <c r="Q354" s="97">
        <f t="shared" si="80"/>
        <v>0</v>
      </c>
      <c r="R354" s="287"/>
      <c r="S354" s="228"/>
      <c r="T354" s="228"/>
      <c r="U354" s="228"/>
      <c r="V354" s="228"/>
      <c r="W354" s="228">
        <f>0</f>
        <v>0</v>
      </c>
      <c r="X354" s="228"/>
      <c r="Y354" s="228">
        <f t="shared" si="89"/>
        <v>0</v>
      </c>
      <c r="Z354" s="152"/>
      <c r="AA354" s="96">
        <f>AM354+S354+T354+U354+V354+W354+X354+Y354</f>
        <v>0</v>
      </c>
      <c r="AB354" s="97">
        <f>IF(C354=2017, AA354/3,AA354)+Z354</f>
        <v>0</v>
      </c>
      <c r="AE354" s="228"/>
      <c r="AF354" s="228"/>
      <c r="AG354" s="228"/>
      <c r="AH354" s="228"/>
      <c r="AI354" s="120"/>
      <c r="AJ354" s="96">
        <f>SUM(AE354:AH354)</f>
        <v>0</v>
      </c>
      <c r="AK354" s="97">
        <f>IF(C354=2016, AJ354/3,AJ354)+AI354</f>
        <v>0</v>
      </c>
      <c r="AL354" s="22"/>
      <c r="AM354" s="287"/>
      <c r="AN354" s="287"/>
      <c r="AO354" s="287"/>
      <c r="AP354" s="287"/>
      <c r="AQ354" s="287"/>
      <c r="AR354" s="287"/>
      <c r="AS354" s="285"/>
      <c r="AT354" s="95"/>
      <c r="AU354" s="96"/>
      <c r="AV354" s="97"/>
    </row>
    <row r="355" spans="1:67" x14ac:dyDescent="0.25">
      <c r="A355" s="71" t="s">
        <v>830</v>
      </c>
      <c r="B355" s="71" t="s">
        <v>63</v>
      </c>
      <c r="C355" s="72">
        <v>2013</v>
      </c>
      <c r="D355" s="1">
        <f t="shared" si="85"/>
        <v>4.333333333333333</v>
      </c>
      <c r="N355" s="267">
        <f t="shared" si="79"/>
        <v>13</v>
      </c>
      <c r="P355" s="96">
        <f t="shared" si="86"/>
        <v>13</v>
      </c>
      <c r="Q355" s="97">
        <f t="shared" si="80"/>
        <v>4.333333333333333</v>
      </c>
      <c r="S355" s="228"/>
      <c r="T355" s="228"/>
      <c r="U355" s="228"/>
      <c r="V355" s="228">
        <f>0</f>
        <v>0</v>
      </c>
      <c r="W355" s="228">
        <f>13</f>
        <v>13</v>
      </c>
      <c r="X355" s="228"/>
      <c r="Y355" s="228">
        <f t="shared" si="89"/>
        <v>0</v>
      </c>
      <c r="Z355" s="152"/>
      <c r="AA355" s="96">
        <f>AM355+S355+T355+U355+V355+W355+X355+Y355</f>
        <v>13</v>
      </c>
      <c r="AB355" s="97">
        <f>IF(C355=2017, AA355/3,AA355)+Z355</f>
        <v>13</v>
      </c>
      <c r="AE355" s="228"/>
      <c r="AF355" s="228"/>
      <c r="AG355" s="228"/>
      <c r="AH355" s="228"/>
      <c r="AI355" s="120"/>
      <c r="AJ355" s="96">
        <f>SUM(AE355:AH355)</f>
        <v>0</v>
      </c>
      <c r="AK355" s="97">
        <f>IF(C355=2016, AJ355/3,AJ355)+AI355</f>
        <v>0</v>
      </c>
      <c r="AL355" s="22"/>
      <c r="AM355" s="267"/>
      <c r="AN355" s="267"/>
      <c r="AO355" s="267"/>
      <c r="AP355" s="267"/>
      <c r="AQ355" s="267"/>
      <c r="AR355" s="267"/>
      <c r="AS355" s="265"/>
      <c r="AT355" s="95"/>
      <c r="AU355" s="96"/>
      <c r="AV355" s="97"/>
    </row>
    <row r="356" spans="1:67" x14ac:dyDescent="0.25">
      <c r="A356" s="11" t="s">
        <v>483</v>
      </c>
      <c r="B356" s="60" t="s">
        <v>63</v>
      </c>
      <c r="C356" s="62">
        <v>2010</v>
      </c>
      <c r="D356" s="1">
        <f t="shared" si="85"/>
        <v>246</v>
      </c>
      <c r="N356" s="267">
        <f t="shared" ref="N356:N418" si="90">AB356</f>
        <v>246</v>
      </c>
      <c r="P356" s="96">
        <f t="shared" si="86"/>
        <v>246</v>
      </c>
      <c r="Q356" s="97">
        <f t="shared" ref="Q356:Q418" si="91">IF(C356=2013, P356/3,P356)+O356</f>
        <v>246</v>
      </c>
      <c r="S356" s="252"/>
      <c r="T356" s="252"/>
      <c r="U356" s="252">
        <f>20+8</f>
        <v>28</v>
      </c>
      <c r="V356" s="252">
        <f>24+3+6+6</f>
        <v>39</v>
      </c>
      <c r="W356" s="252">
        <f>24+8+3+6</f>
        <v>41</v>
      </c>
      <c r="X356" s="252">
        <f>24+4+9</f>
        <v>37</v>
      </c>
      <c r="Y356" s="228">
        <f t="shared" si="89"/>
        <v>101</v>
      </c>
      <c r="Z356" s="120"/>
      <c r="AA356" s="96">
        <f>S356+T356+U356+V356+W356+X356+Y356</f>
        <v>246</v>
      </c>
      <c r="AB356" s="97">
        <f>IF(C356=2012, AA356/3,AA356)+Z356</f>
        <v>246</v>
      </c>
      <c r="AC356" s="22"/>
      <c r="AD356" s="256">
        <f>24+10</f>
        <v>34</v>
      </c>
      <c r="AE356" s="252">
        <f>21+12</f>
        <v>33</v>
      </c>
      <c r="AF356" s="252">
        <f>22+12</f>
        <v>34</v>
      </c>
      <c r="AG356" s="252">
        <f>0</f>
        <v>0</v>
      </c>
      <c r="AH356" s="252">
        <f>AV356</f>
        <v>0</v>
      </c>
      <c r="AI356" s="120"/>
      <c r="AJ356" s="96">
        <f>SUM(AD356:AH356)</f>
        <v>101</v>
      </c>
      <c r="AK356" s="97">
        <f>IF(C356=2011, AJ356/3,AJ356)+AI356</f>
        <v>101</v>
      </c>
      <c r="AL356" s="22"/>
      <c r="AM356" s="41"/>
      <c r="AN356" s="41"/>
      <c r="AO356" s="41"/>
      <c r="AP356" s="41"/>
      <c r="AQ356" s="41"/>
      <c r="AR356" s="41">
        <f>0</f>
        <v>0</v>
      </c>
      <c r="AT356" s="95"/>
      <c r="AU356" s="96">
        <f>SUM(AM356:AS356)</f>
        <v>0</v>
      </c>
      <c r="AV356" s="97">
        <f>IF(C356=2010, AU356/3,AU356)+AT356</f>
        <v>0</v>
      </c>
    </row>
    <row r="357" spans="1:67" x14ac:dyDescent="0.25">
      <c r="A357" s="11" t="s">
        <v>744</v>
      </c>
      <c r="B357" s="60" t="s">
        <v>63</v>
      </c>
      <c r="C357" s="62">
        <v>2010</v>
      </c>
      <c r="D357" s="1">
        <f t="shared" si="85"/>
        <v>5</v>
      </c>
      <c r="N357" s="267">
        <f t="shared" si="90"/>
        <v>5</v>
      </c>
      <c r="P357" s="96">
        <f t="shared" si="86"/>
        <v>5</v>
      </c>
      <c r="Q357" s="97">
        <f t="shared" si="91"/>
        <v>5</v>
      </c>
      <c r="S357" s="228"/>
      <c r="T357" s="228"/>
      <c r="U357" s="228"/>
      <c r="V357" s="228"/>
      <c r="W357" s="228"/>
      <c r="X357" s="228"/>
      <c r="Y357" s="228">
        <f t="shared" si="89"/>
        <v>5</v>
      </c>
      <c r="Z357" s="120"/>
      <c r="AA357" s="96">
        <f>S357+T357+U357+V357+W357+X357+Y357</f>
        <v>5</v>
      </c>
      <c r="AB357" s="97">
        <f>IF(C357=2012, AA357/3,AA357)+Z357</f>
        <v>5</v>
      </c>
      <c r="AC357" s="22"/>
      <c r="AD357" s="287">
        <f>5</f>
        <v>5</v>
      </c>
      <c r="AE357" s="228"/>
      <c r="AF357" s="228"/>
      <c r="AG357" s="228"/>
      <c r="AH357" s="228"/>
      <c r="AI357" s="120"/>
      <c r="AJ357" s="96">
        <f>SUM(AD357:AH357)</f>
        <v>5</v>
      </c>
      <c r="AK357" s="97">
        <f>IF(C357=2011, AJ357/3,AJ357)+AI357</f>
        <v>5</v>
      </c>
      <c r="AL357" s="22"/>
      <c r="AM357" s="41"/>
      <c r="AN357" s="41"/>
      <c r="AO357" s="41"/>
      <c r="AP357" s="41"/>
      <c r="AQ357" s="41"/>
      <c r="AR357" s="41"/>
      <c r="AT357" s="95"/>
      <c r="AU357" s="96"/>
      <c r="AV357" s="97"/>
    </row>
    <row r="358" spans="1:67" x14ac:dyDescent="0.25">
      <c r="A358" s="11" t="s">
        <v>669</v>
      </c>
      <c r="B358" s="60" t="s">
        <v>598</v>
      </c>
      <c r="C358" s="62" t="s">
        <v>670</v>
      </c>
      <c r="D358" s="1">
        <f t="shared" si="85"/>
        <v>69</v>
      </c>
      <c r="N358" s="267">
        <f t="shared" si="90"/>
        <v>69</v>
      </c>
      <c r="P358" s="96">
        <f t="shared" si="86"/>
        <v>69</v>
      </c>
      <c r="Q358" s="97">
        <f t="shared" si="91"/>
        <v>69</v>
      </c>
      <c r="S358" s="201"/>
      <c r="T358" s="201"/>
      <c r="U358" s="201"/>
      <c r="V358" s="201"/>
      <c r="W358" s="201"/>
      <c r="X358" s="201"/>
      <c r="Y358" s="215">
        <f t="shared" si="89"/>
        <v>69</v>
      </c>
      <c r="Z358" s="120"/>
      <c r="AA358" s="96">
        <f>S358+T358+U358+V358+W358+X358+Y358</f>
        <v>69</v>
      </c>
      <c r="AB358" s="97">
        <f>IF(C358=2012, AA358/3,AA358)+Z358</f>
        <v>69</v>
      </c>
      <c r="AC358" s="22"/>
      <c r="AD358" s="228"/>
      <c r="AE358" s="201"/>
      <c r="AF358" s="201">
        <f>69</f>
        <v>69</v>
      </c>
      <c r="AG358" s="201"/>
      <c r="AH358" s="201"/>
      <c r="AI358" s="120"/>
      <c r="AJ358" s="96">
        <f>SUM(AD358:AH358)</f>
        <v>69</v>
      </c>
      <c r="AK358" s="97">
        <f>IF(C358=2011, AJ358/3,AJ358)+AI358</f>
        <v>69</v>
      </c>
      <c r="AL358" s="22"/>
      <c r="AM358" s="41"/>
      <c r="AN358" s="41"/>
      <c r="AO358" s="41"/>
      <c r="AP358" s="41"/>
      <c r="AQ358" s="41"/>
      <c r="AR358" s="41"/>
      <c r="AT358" s="95"/>
      <c r="AU358" s="96"/>
      <c r="AV358" s="97"/>
    </row>
    <row r="359" spans="1:67" ht="14.25" customHeight="1" x14ac:dyDescent="0.25">
      <c r="A359" s="60" t="s">
        <v>980</v>
      </c>
      <c r="B359" s="65" t="s">
        <v>938</v>
      </c>
      <c r="C359" s="62">
        <v>2010</v>
      </c>
      <c r="D359" s="1">
        <f t="shared" si="85"/>
        <v>0</v>
      </c>
      <c r="E359" s="108"/>
      <c r="F359" s="108"/>
      <c r="H359" s="101"/>
      <c r="N359" s="267">
        <f t="shared" si="90"/>
        <v>0</v>
      </c>
      <c r="P359" s="96">
        <f t="shared" si="86"/>
        <v>0</v>
      </c>
      <c r="Q359" s="97">
        <f t="shared" si="91"/>
        <v>0</v>
      </c>
      <c r="S359" s="256"/>
      <c r="T359" s="256">
        <f>0</f>
        <v>0</v>
      </c>
      <c r="U359" s="256"/>
      <c r="V359" s="256"/>
      <c r="W359" s="256"/>
      <c r="X359" s="256"/>
      <c r="Y359" s="215">
        <f t="shared" si="89"/>
        <v>0</v>
      </c>
      <c r="Z359" s="120"/>
      <c r="AA359" s="96">
        <f>S359+T359+U359+V359+W359+X359+Y359</f>
        <v>0</v>
      </c>
      <c r="AB359" s="97">
        <f>IF(C359=2012, AA359/3,AA359)+Z359</f>
        <v>0</v>
      </c>
      <c r="AC359" s="22"/>
      <c r="AD359" s="256"/>
      <c r="AE359" s="256"/>
      <c r="AF359" s="256"/>
      <c r="AG359" s="256"/>
      <c r="AH359" s="256"/>
      <c r="AI359" s="120"/>
      <c r="AJ359" s="96">
        <f>SUM(AD359:AH359)</f>
        <v>0</v>
      </c>
      <c r="AK359" s="97">
        <f>IF(C359=2011, AJ359/3,AJ359)+AI359</f>
        <v>0</v>
      </c>
      <c r="AL359" s="22"/>
      <c r="AT359" s="95"/>
      <c r="AU359" s="96"/>
      <c r="AV359" s="97"/>
    </row>
    <row r="360" spans="1:67" x14ac:dyDescent="0.25">
      <c r="A360" s="60" t="s">
        <v>976</v>
      </c>
      <c r="B360" s="65" t="s">
        <v>63</v>
      </c>
      <c r="C360" s="62">
        <v>2011</v>
      </c>
      <c r="D360" s="1">
        <f t="shared" si="85"/>
        <v>57</v>
      </c>
      <c r="E360" s="283">
        <f>0</f>
        <v>0</v>
      </c>
      <c r="I360" s="261">
        <f>40</f>
        <v>40</v>
      </c>
      <c r="J360" s="246">
        <f>5</f>
        <v>5</v>
      </c>
      <c r="K360" s="241">
        <f>10</f>
        <v>10</v>
      </c>
      <c r="M360" s="228"/>
      <c r="N360" s="267">
        <f t="shared" si="90"/>
        <v>2</v>
      </c>
      <c r="P360" s="96">
        <f t="shared" si="86"/>
        <v>57</v>
      </c>
      <c r="Q360" s="97">
        <f t="shared" si="91"/>
        <v>57</v>
      </c>
      <c r="R360" s="228"/>
      <c r="S360" s="228">
        <f>0+1</f>
        <v>1</v>
      </c>
      <c r="T360" s="228">
        <f>0+1</f>
        <v>1</v>
      </c>
      <c r="U360" s="228"/>
      <c r="V360" s="228"/>
      <c r="W360" s="228"/>
      <c r="X360" s="228"/>
      <c r="Y360" s="228">
        <f t="shared" si="89"/>
        <v>0</v>
      </c>
      <c r="Z360" s="120"/>
      <c r="AA360" s="96">
        <f>S360+T360+U360+V360+W360+X360+Y360</f>
        <v>2</v>
      </c>
      <c r="AB360" s="97">
        <f>IF(C360=2012, AA360/3,AA360)+Z360</f>
        <v>2</v>
      </c>
      <c r="AC360" s="22"/>
      <c r="AD360" s="267"/>
      <c r="AE360" s="228"/>
      <c r="AF360" s="228"/>
      <c r="AG360" s="228"/>
      <c r="AH360" s="228"/>
      <c r="AI360" s="120"/>
      <c r="AJ360" s="96">
        <f>SUM(AD360:AH360)</f>
        <v>0</v>
      </c>
      <c r="AK360" s="97">
        <f>IF(C360=2011, AJ360/3,AJ360)+AI360</f>
        <v>0</v>
      </c>
      <c r="AL360" s="22"/>
      <c r="AT360" s="95"/>
      <c r="AU360" s="96"/>
      <c r="AV360" s="97"/>
    </row>
    <row r="361" spans="1:67" x14ac:dyDescent="0.25">
      <c r="A361" s="71" t="s">
        <v>1091</v>
      </c>
      <c r="B361" s="71" t="s">
        <v>834</v>
      </c>
      <c r="C361" s="72">
        <v>2013</v>
      </c>
      <c r="D361" s="1">
        <f t="shared" si="85"/>
        <v>102</v>
      </c>
      <c r="E361" s="283">
        <f>27+18</f>
        <v>45</v>
      </c>
      <c r="I361" s="261">
        <f>58+12</f>
        <v>70</v>
      </c>
      <c r="J361" s="246">
        <f>28</f>
        <v>28</v>
      </c>
      <c r="K361" s="241">
        <f>30</f>
        <v>30</v>
      </c>
      <c r="L361" s="241">
        <f>43</f>
        <v>43</v>
      </c>
      <c r="M361" s="241"/>
      <c r="N361" s="267">
        <f t="shared" si="90"/>
        <v>0</v>
      </c>
      <c r="P361" s="96">
        <f t="shared" si="86"/>
        <v>171</v>
      </c>
      <c r="Q361" s="97">
        <f t="shared" si="91"/>
        <v>57</v>
      </c>
      <c r="R361" s="241"/>
      <c r="S361" s="241"/>
      <c r="T361" s="241"/>
      <c r="U361" s="241"/>
      <c r="V361" s="241"/>
      <c r="W361" s="241"/>
      <c r="X361" s="241"/>
      <c r="Y361" s="241"/>
      <c r="Z361" s="152"/>
      <c r="AA361" s="96"/>
      <c r="AB361" s="97"/>
      <c r="AE361" s="241"/>
      <c r="AF361" s="241"/>
      <c r="AG361" s="241"/>
      <c r="AH361" s="241"/>
      <c r="AI361" s="120"/>
      <c r="AJ361" s="96"/>
      <c r="AK361" s="97"/>
      <c r="AL361" s="22"/>
      <c r="AM361" s="287"/>
      <c r="AN361" s="287"/>
      <c r="AO361" s="287"/>
      <c r="AP361" s="287"/>
      <c r="AQ361" s="287"/>
      <c r="AR361" s="287"/>
      <c r="AS361" s="285"/>
      <c r="AT361" s="95"/>
      <c r="AU361" s="96"/>
      <c r="AV361" s="97"/>
    </row>
    <row r="362" spans="1:67" s="17" customFormat="1" x14ac:dyDescent="0.25">
      <c r="A362" s="11" t="s">
        <v>539</v>
      </c>
      <c r="B362" s="60" t="s">
        <v>7</v>
      </c>
      <c r="C362" s="62">
        <v>2012</v>
      </c>
      <c r="D362" s="1">
        <f t="shared" si="85"/>
        <v>40.333333333333336</v>
      </c>
      <c r="E362" s="283">
        <f>0</f>
        <v>0</v>
      </c>
      <c r="F362" s="278"/>
      <c r="G362" s="120"/>
      <c r="H362" s="13"/>
      <c r="I362" s="287"/>
      <c r="J362" s="287"/>
      <c r="K362" s="287"/>
      <c r="L362" s="287"/>
      <c r="M362" s="287"/>
      <c r="N362" s="267">
        <f t="shared" si="90"/>
        <v>40.333333333333336</v>
      </c>
      <c r="O362" s="120"/>
      <c r="P362" s="96">
        <f t="shared" si="86"/>
        <v>40.333333333333336</v>
      </c>
      <c r="Q362" s="97">
        <f t="shared" si="91"/>
        <v>40.333333333333336</v>
      </c>
      <c r="R362" s="287"/>
      <c r="S362" s="201"/>
      <c r="T362" s="192"/>
      <c r="U362" s="183"/>
      <c r="V362" s="168">
        <f>16</f>
        <v>16</v>
      </c>
      <c r="W362" s="50">
        <f>50</f>
        <v>50</v>
      </c>
      <c r="X362" s="50"/>
      <c r="Y362" s="215">
        <f>AK362</f>
        <v>55</v>
      </c>
      <c r="Z362" s="120"/>
      <c r="AA362" s="96">
        <f>S362+T362+U362+V362+W362+X362+Y362</f>
        <v>121</v>
      </c>
      <c r="AB362" s="97">
        <f>IF(C362=2012, AA362/3,AA362)+Z362</f>
        <v>40.333333333333336</v>
      </c>
      <c r="AC362" s="290"/>
      <c r="AD362" s="290"/>
      <c r="AE362" s="50">
        <f>17</f>
        <v>17</v>
      </c>
      <c r="AF362" s="50">
        <f>25</f>
        <v>25</v>
      </c>
      <c r="AG362" s="50">
        <f>13</f>
        <v>13</v>
      </c>
      <c r="AH362" s="50">
        <f>AV362</f>
        <v>0</v>
      </c>
      <c r="AI362" s="120"/>
      <c r="AJ362" s="96">
        <f>SUM(AD362:AH362)</f>
        <v>55</v>
      </c>
      <c r="AK362" s="97">
        <f>IF(C362=2011, AJ362/3,AJ362)+AI362</f>
        <v>55</v>
      </c>
      <c r="AL362" s="22"/>
      <c r="AM362" s="41"/>
      <c r="AN362" s="41"/>
      <c r="AO362" s="41"/>
      <c r="AP362" s="41"/>
      <c r="AQ362" s="41"/>
      <c r="AR362" s="41">
        <f>0</f>
        <v>0</v>
      </c>
      <c r="AS362" s="13"/>
      <c r="AT362" s="95"/>
      <c r="AU362" s="96">
        <f>SUM(AM362:AS362)</f>
        <v>0</v>
      </c>
      <c r="AV362" s="97">
        <f>IF(C362=2015, AU362/3,AU362)+AT362</f>
        <v>0</v>
      </c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spans="1:67" x14ac:dyDescent="0.25">
      <c r="A363" s="71" t="s">
        <v>827</v>
      </c>
      <c r="B363" s="71" t="s">
        <v>0</v>
      </c>
      <c r="C363" s="72">
        <v>2012</v>
      </c>
      <c r="D363" s="1">
        <f t="shared" si="85"/>
        <v>8.6666666666666661</v>
      </c>
      <c r="E363" s="74"/>
      <c r="F363" s="74"/>
      <c r="N363" s="267">
        <f t="shared" si="90"/>
        <v>8.6666666666666661</v>
      </c>
      <c r="P363" s="96">
        <f t="shared" si="86"/>
        <v>8.6666666666666661</v>
      </c>
      <c r="Q363" s="97">
        <f t="shared" si="91"/>
        <v>8.6666666666666661</v>
      </c>
      <c r="S363" s="201"/>
      <c r="T363" s="201"/>
      <c r="U363" s="201">
        <f>0</f>
        <v>0</v>
      </c>
      <c r="V363" s="201">
        <f>0</f>
        <v>0</v>
      </c>
      <c r="W363" s="201">
        <f>23+3</f>
        <v>26</v>
      </c>
      <c r="X363" s="201"/>
      <c r="Y363" s="215">
        <f>AK363</f>
        <v>0</v>
      </c>
      <c r="Z363" s="152"/>
      <c r="AA363" s="96">
        <f>S363+T363+U363+V363+W363+X363+Y363</f>
        <v>26</v>
      </c>
      <c r="AB363" s="97">
        <f>IF(C363=2012, AA363/3,AA363)+Z363</f>
        <v>8.6666666666666661</v>
      </c>
      <c r="AE363" s="201"/>
      <c r="AF363" s="201"/>
      <c r="AG363" s="201"/>
      <c r="AH363" s="201"/>
      <c r="AI363" s="120"/>
      <c r="AJ363" s="96">
        <f>SUM(AD363:AH363)</f>
        <v>0</v>
      </c>
      <c r="AK363" s="97">
        <f>IF(C363=2011, AJ363/3,AJ363)+AI363</f>
        <v>0</v>
      </c>
      <c r="AL363" s="22"/>
      <c r="AM363" s="287"/>
      <c r="AN363" s="287"/>
      <c r="AO363" s="287"/>
      <c r="AP363" s="287"/>
      <c r="AQ363" s="287"/>
      <c r="AR363" s="287"/>
      <c r="AS363" s="285"/>
      <c r="AT363" s="95"/>
      <c r="AU363" s="96"/>
      <c r="AV363" s="97"/>
    </row>
    <row r="364" spans="1:67" x14ac:dyDescent="0.25">
      <c r="A364" s="11" t="s">
        <v>1247</v>
      </c>
      <c r="B364" s="11" t="s">
        <v>697</v>
      </c>
      <c r="C364" s="62"/>
      <c r="D364" s="1">
        <f t="shared" si="85"/>
        <v>0</v>
      </c>
      <c r="I364" s="287"/>
      <c r="J364" s="287"/>
      <c r="K364" s="287">
        <v>0</v>
      </c>
      <c r="L364" s="287"/>
      <c r="M364" s="287"/>
      <c r="N364" s="267">
        <f t="shared" si="90"/>
        <v>0</v>
      </c>
      <c r="P364" s="96">
        <f t="shared" si="86"/>
        <v>0</v>
      </c>
      <c r="Q364" s="97">
        <f t="shared" si="91"/>
        <v>0</v>
      </c>
      <c r="R364" s="287"/>
      <c r="S364" s="256"/>
      <c r="T364" s="256"/>
      <c r="U364" s="256"/>
      <c r="V364" s="256"/>
      <c r="W364" s="256"/>
      <c r="X364" s="256"/>
      <c r="Y364" s="215"/>
      <c r="Z364" s="120"/>
      <c r="AA364" s="96"/>
      <c r="AB364" s="97"/>
      <c r="AC364" s="22"/>
      <c r="AD364" s="256"/>
      <c r="AE364" s="50"/>
      <c r="AF364" s="50"/>
      <c r="AG364" s="50"/>
      <c r="AH364" s="50"/>
      <c r="AI364" s="120"/>
      <c r="AJ364" s="96"/>
      <c r="AK364" s="97"/>
      <c r="AL364" s="22"/>
      <c r="AM364" s="41"/>
      <c r="AN364" s="41"/>
      <c r="AO364" s="41"/>
      <c r="AP364" s="41"/>
      <c r="AQ364" s="41"/>
      <c r="AR364" s="41"/>
      <c r="AT364" s="95"/>
      <c r="AU364" s="96"/>
      <c r="AV364" s="97"/>
    </row>
    <row r="365" spans="1:67" x14ac:dyDescent="0.25">
      <c r="A365" s="71" t="s">
        <v>986</v>
      </c>
      <c r="B365" s="71" t="s">
        <v>86</v>
      </c>
      <c r="C365" s="72">
        <v>2013</v>
      </c>
      <c r="D365" s="1">
        <f t="shared" si="85"/>
        <v>13.333333333333334</v>
      </c>
      <c r="N365" s="267">
        <f t="shared" si="90"/>
        <v>40</v>
      </c>
      <c r="P365" s="96">
        <f t="shared" si="86"/>
        <v>40</v>
      </c>
      <c r="Q365" s="97">
        <f t="shared" si="91"/>
        <v>13.333333333333334</v>
      </c>
      <c r="S365" s="256">
        <f>40</f>
        <v>40</v>
      </c>
      <c r="T365" s="256"/>
      <c r="U365" s="256"/>
      <c r="V365" s="256"/>
      <c r="W365" s="256"/>
      <c r="X365" s="256"/>
      <c r="Y365" s="228">
        <f>AK365</f>
        <v>0</v>
      </c>
      <c r="Z365" s="152"/>
      <c r="AA365" s="96">
        <f>AM365+S365+T365+U365+V365+W365+X365+Y365</f>
        <v>40</v>
      </c>
      <c r="AB365" s="97">
        <f>IF(C365=2017, AA365/3,AA365)+Z365</f>
        <v>40</v>
      </c>
      <c r="AE365" s="228"/>
      <c r="AF365" s="228"/>
      <c r="AG365" s="228"/>
      <c r="AH365" s="228"/>
      <c r="AI365" s="120"/>
      <c r="AJ365" s="96">
        <f>SUM(AE365:AH365)</f>
        <v>0</v>
      </c>
      <c r="AK365" s="97">
        <f>IF(C365=2016, AJ365/3,AJ365)+AI365</f>
        <v>0</v>
      </c>
      <c r="AL365" s="22"/>
      <c r="AM365" s="256"/>
      <c r="AN365" s="256"/>
      <c r="AO365" s="256"/>
      <c r="AP365" s="256"/>
      <c r="AQ365" s="256"/>
      <c r="AR365" s="256"/>
      <c r="AS365" s="254"/>
      <c r="AT365" s="95"/>
      <c r="AU365" s="96"/>
      <c r="AV365" s="97"/>
    </row>
    <row r="366" spans="1:67" x14ac:dyDescent="0.25">
      <c r="A366" s="11" t="s">
        <v>820</v>
      </c>
      <c r="B366" s="60" t="s">
        <v>583</v>
      </c>
      <c r="C366" s="62">
        <v>2012</v>
      </c>
      <c r="D366" s="1">
        <f t="shared" si="85"/>
        <v>1</v>
      </c>
      <c r="E366" s="108"/>
      <c r="F366" s="108"/>
      <c r="H366" s="101"/>
      <c r="I366" s="287"/>
      <c r="J366" s="287"/>
      <c r="K366" s="287"/>
      <c r="L366" s="287"/>
      <c r="M366" s="287"/>
      <c r="N366" s="267">
        <f t="shared" si="90"/>
        <v>1</v>
      </c>
      <c r="P366" s="96">
        <f t="shared" si="86"/>
        <v>1</v>
      </c>
      <c r="Q366" s="97">
        <f t="shared" si="91"/>
        <v>1</v>
      </c>
      <c r="R366" s="287"/>
      <c r="S366" s="256"/>
      <c r="T366" s="256"/>
      <c r="U366" s="256"/>
      <c r="V366" s="256"/>
      <c r="W366" s="256"/>
      <c r="X366" s="256">
        <f>3</f>
        <v>3</v>
      </c>
      <c r="Y366" s="228">
        <f>AK366</f>
        <v>0</v>
      </c>
      <c r="Z366" s="152"/>
      <c r="AA366" s="96">
        <f>S366+T366+U366+V366+W366+X366+Y366</f>
        <v>3</v>
      </c>
      <c r="AB366" s="97">
        <f>IF(C366=2012, AA366/3,AA366)+Z366</f>
        <v>1</v>
      </c>
      <c r="AC366" s="290"/>
      <c r="AD366" s="290"/>
      <c r="AE366" s="228"/>
      <c r="AF366" s="228"/>
      <c r="AG366" s="228"/>
      <c r="AH366" s="228"/>
      <c r="AI366" s="120"/>
      <c r="AJ366" s="96">
        <f>SUM(AD366:AH366)</f>
        <v>0</v>
      </c>
      <c r="AK366" s="97">
        <f>IF(C366=2011, AJ366/3,AJ366)+AI366</f>
        <v>0</v>
      </c>
      <c r="AL366" s="22"/>
      <c r="AM366" s="151"/>
      <c r="AN366" s="151"/>
      <c r="AO366" s="151"/>
      <c r="AP366" s="151"/>
      <c r="AQ366" s="151"/>
      <c r="AR366" s="151"/>
      <c r="AT366" s="95"/>
      <c r="AU366" s="96"/>
      <c r="AV366" s="97"/>
    </row>
    <row r="367" spans="1:67" s="17" customFormat="1" x14ac:dyDescent="0.25">
      <c r="A367" s="11" t="s">
        <v>808</v>
      </c>
      <c r="B367" s="60" t="s">
        <v>583</v>
      </c>
      <c r="C367" s="62">
        <v>2010</v>
      </c>
      <c r="D367" s="1">
        <f t="shared" si="85"/>
        <v>12</v>
      </c>
      <c r="E367" s="108"/>
      <c r="F367" s="108"/>
      <c r="G367" s="120"/>
      <c r="H367" s="101"/>
      <c r="I367" s="267"/>
      <c r="J367" s="267"/>
      <c r="K367" s="267"/>
      <c r="L367" s="267"/>
      <c r="M367" s="267"/>
      <c r="N367" s="267">
        <f t="shared" si="90"/>
        <v>12</v>
      </c>
      <c r="O367" s="120"/>
      <c r="P367" s="96">
        <f t="shared" si="86"/>
        <v>12</v>
      </c>
      <c r="Q367" s="97">
        <f t="shared" si="91"/>
        <v>12</v>
      </c>
      <c r="R367" s="267"/>
      <c r="S367" s="201"/>
      <c r="T367" s="192"/>
      <c r="U367" s="192"/>
      <c r="V367" s="192"/>
      <c r="W367" s="192"/>
      <c r="X367" s="192">
        <f>12</f>
        <v>12</v>
      </c>
      <c r="Y367" s="215">
        <f>AK367</f>
        <v>0</v>
      </c>
      <c r="Z367" s="120"/>
      <c r="AA367" s="96">
        <f>S367+T367+U367+V367+W367+X367+Y367</f>
        <v>12</v>
      </c>
      <c r="AB367" s="97">
        <f>IF(C367=2012, AA367/3,AA367)+Z367</f>
        <v>12</v>
      </c>
      <c r="AC367" s="22"/>
      <c r="AD367" s="287"/>
      <c r="AE367" s="192"/>
      <c r="AF367" s="192"/>
      <c r="AG367" s="192"/>
      <c r="AH367" s="192"/>
      <c r="AI367" s="120"/>
      <c r="AJ367" s="96">
        <f>SUM(AD367:AH367)</f>
        <v>0</v>
      </c>
      <c r="AK367" s="97"/>
      <c r="AL367" s="22"/>
      <c r="AM367" s="41"/>
      <c r="AN367" s="41"/>
      <c r="AO367" s="41"/>
      <c r="AP367" s="41"/>
      <c r="AQ367" s="41"/>
      <c r="AR367" s="41"/>
      <c r="AS367" s="13"/>
      <c r="AT367" s="95"/>
      <c r="AU367" s="96"/>
      <c r="AV367" s="97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spans="1:67" x14ac:dyDescent="0.25">
      <c r="A368" s="60" t="s">
        <v>1243</v>
      </c>
      <c r="B368" s="65" t="s">
        <v>697</v>
      </c>
      <c r="C368" s="62">
        <v>2012</v>
      </c>
      <c r="D368" s="1">
        <f t="shared" si="85"/>
        <v>18</v>
      </c>
      <c r="E368" s="283">
        <f>4</f>
        <v>4</v>
      </c>
      <c r="I368" s="261">
        <f>12</f>
        <v>12</v>
      </c>
      <c r="K368" s="241">
        <f>2</f>
        <v>2</v>
      </c>
      <c r="N368" s="267">
        <f t="shared" si="90"/>
        <v>0</v>
      </c>
      <c r="P368" s="96">
        <f t="shared" si="86"/>
        <v>14</v>
      </c>
      <c r="Q368" s="97">
        <f t="shared" si="91"/>
        <v>14</v>
      </c>
      <c r="S368" s="228"/>
      <c r="T368" s="228"/>
      <c r="U368" s="228"/>
      <c r="V368" s="228"/>
      <c r="W368" s="228"/>
      <c r="X368" s="228"/>
      <c r="Y368" s="228"/>
      <c r="Z368" s="120"/>
      <c r="AA368" s="96"/>
      <c r="AB368" s="97"/>
      <c r="AC368" s="22"/>
      <c r="AD368" s="287"/>
      <c r="AE368" s="228"/>
      <c r="AF368" s="228"/>
      <c r="AG368" s="228"/>
      <c r="AH368" s="228"/>
      <c r="AI368" s="120"/>
      <c r="AJ368" s="96"/>
      <c r="AK368" s="97"/>
      <c r="AL368" s="22"/>
      <c r="AT368" s="95"/>
      <c r="AU368" s="96"/>
      <c r="AV368" s="97"/>
    </row>
    <row r="369" spans="1:67" x14ac:dyDescent="0.25">
      <c r="A369" s="71" t="s">
        <v>1107</v>
      </c>
      <c r="B369" s="11" t="s">
        <v>36</v>
      </c>
      <c r="C369" s="72">
        <v>2013</v>
      </c>
      <c r="D369" s="1">
        <f t="shared" si="85"/>
        <v>5.333333333333333</v>
      </c>
      <c r="K369" s="241">
        <f>5+2</f>
        <v>7</v>
      </c>
      <c r="L369" s="228">
        <f>9</f>
        <v>9</v>
      </c>
      <c r="N369" s="267">
        <f t="shared" si="90"/>
        <v>0</v>
      </c>
      <c r="P369" s="96">
        <f t="shared" si="86"/>
        <v>16</v>
      </c>
      <c r="Q369" s="97">
        <f t="shared" si="91"/>
        <v>5.333333333333333</v>
      </c>
      <c r="S369" s="215"/>
      <c r="T369" s="215"/>
      <c r="U369" s="215"/>
      <c r="V369" s="215"/>
      <c r="W369" s="215"/>
      <c r="X369" s="215"/>
      <c r="Y369" s="215"/>
      <c r="Z369" s="152"/>
      <c r="AA369" s="96"/>
      <c r="AB369" s="97"/>
      <c r="AE369" s="215"/>
      <c r="AF369" s="215"/>
      <c r="AG369" s="215"/>
      <c r="AH369" s="215"/>
      <c r="AI369" s="120"/>
      <c r="AJ369" s="96"/>
      <c r="AK369" s="97"/>
      <c r="AL369" s="22"/>
      <c r="AM369" s="256"/>
      <c r="AN369" s="256"/>
      <c r="AO369" s="256"/>
      <c r="AP369" s="256"/>
      <c r="AQ369" s="256"/>
      <c r="AR369" s="256"/>
      <c r="AS369" s="254"/>
      <c r="AT369" s="95"/>
      <c r="AU369" s="96"/>
      <c r="AV369" s="97"/>
    </row>
    <row r="370" spans="1:67" ht="16.5" customHeight="1" x14ac:dyDescent="0.25">
      <c r="A370" s="11" t="s">
        <v>910</v>
      </c>
      <c r="B370" s="60" t="s">
        <v>64</v>
      </c>
      <c r="C370" s="62"/>
      <c r="D370" s="1">
        <f t="shared" si="85"/>
        <v>3</v>
      </c>
      <c r="N370" s="267">
        <f t="shared" si="90"/>
        <v>3</v>
      </c>
      <c r="P370" s="96">
        <f t="shared" si="86"/>
        <v>3</v>
      </c>
      <c r="Q370" s="97">
        <f t="shared" si="91"/>
        <v>3</v>
      </c>
      <c r="S370" s="228"/>
      <c r="T370" s="228"/>
      <c r="U370" s="228"/>
      <c r="V370" s="228">
        <f>3</f>
        <v>3</v>
      </c>
      <c r="W370" s="228"/>
      <c r="X370" s="228"/>
      <c r="Y370" s="228">
        <f t="shared" ref="Y370:Y379" si="92">AK370</f>
        <v>0</v>
      </c>
      <c r="Z370" s="120"/>
      <c r="AA370" s="96">
        <f>S370+T370+U370+V370+W370+X370+Y370</f>
        <v>3</v>
      </c>
      <c r="AB370" s="97">
        <f>IF(C370=2012, AA370/3,AA370)+Z370</f>
        <v>3</v>
      </c>
      <c r="AC370" s="22"/>
      <c r="AD370" s="228"/>
      <c r="AE370" s="228"/>
      <c r="AF370" s="228"/>
      <c r="AG370" s="228"/>
      <c r="AH370" s="228"/>
      <c r="AI370" s="120"/>
      <c r="AJ370" s="96">
        <f>SUM(AD370:AH370)</f>
        <v>0</v>
      </c>
      <c r="AK370" s="97">
        <f>IF(C370=2011, AJ370/3,AJ370)+AI370</f>
        <v>0</v>
      </c>
      <c r="AL370" s="22"/>
      <c r="AM370" s="41"/>
      <c r="AN370" s="41"/>
      <c r="AO370" s="41"/>
      <c r="AP370" s="41"/>
      <c r="AQ370" s="41"/>
      <c r="AR370" s="41"/>
      <c r="AT370" s="95"/>
      <c r="AU370" s="96"/>
      <c r="AV370" s="97"/>
    </row>
    <row r="371" spans="1:67" x14ac:dyDescent="0.25">
      <c r="A371" s="71" t="s">
        <v>722</v>
      </c>
      <c r="B371" s="71" t="s">
        <v>63</v>
      </c>
      <c r="C371" s="72">
        <v>2013</v>
      </c>
      <c r="D371" s="1">
        <f t="shared" si="85"/>
        <v>6.666666666666667</v>
      </c>
      <c r="K371" s="241">
        <f>0</f>
        <v>0</v>
      </c>
      <c r="L371" s="241"/>
      <c r="M371" s="241"/>
      <c r="N371" s="267">
        <f t="shared" si="90"/>
        <v>20</v>
      </c>
      <c r="P371" s="96">
        <f t="shared" si="86"/>
        <v>20</v>
      </c>
      <c r="Q371" s="97">
        <f t="shared" si="91"/>
        <v>6.666666666666667</v>
      </c>
      <c r="R371" s="241"/>
      <c r="S371" s="241">
        <f>0</f>
        <v>0</v>
      </c>
      <c r="T371" s="241">
        <f>0</f>
        <v>0</v>
      </c>
      <c r="U371" s="241">
        <f>0+1</f>
        <v>1</v>
      </c>
      <c r="V371" s="241">
        <f>0</f>
        <v>0</v>
      </c>
      <c r="W371" s="241">
        <f>18+1</f>
        <v>19</v>
      </c>
      <c r="X371" s="241">
        <f>0</f>
        <v>0</v>
      </c>
      <c r="Y371" s="241">
        <f t="shared" si="92"/>
        <v>0</v>
      </c>
      <c r="Z371" s="152"/>
      <c r="AA371" s="96">
        <f>AM371+S371+T371+U371+V371+W371+X371+Y371</f>
        <v>20</v>
      </c>
      <c r="AB371" s="97">
        <f>IF(C371=2017, AA371/3,AA371)+Z371</f>
        <v>20</v>
      </c>
      <c r="AC371" s="290"/>
      <c r="AD371" s="290"/>
      <c r="AE371" s="241"/>
      <c r="AF371" s="241"/>
      <c r="AG371" s="241"/>
      <c r="AH371" s="241"/>
      <c r="AI371" s="120"/>
      <c r="AJ371" s="96">
        <f>SUM(AE371:AH371)</f>
        <v>0</v>
      </c>
      <c r="AK371" s="97">
        <f>IF(C371=2016, AJ371/3,AJ371)+AI371</f>
        <v>0</v>
      </c>
      <c r="AL371" s="22"/>
      <c r="AM371" s="287"/>
      <c r="AN371" s="287"/>
      <c r="AO371" s="287"/>
      <c r="AP371" s="287"/>
      <c r="AQ371" s="287"/>
      <c r="AR371" s="287"/>
      <c r="AS371" s="285"/>
      <c r="AT371" s="95"/>
      <c r="AU371" s="96">
        <f>SUM(AM371:AS371)</f>
        <v>0</v>
      </c>
      <c r="AV371" s="97">
        <f>IF(C371=2015, AU371/3,AU371)+AT371</f>
        <v>0</v>
      </c>
    </row>
    <row r="372" spans="1:67" x14ac:dyDescent="0.25">
      <c r="A372" s="11" t="s">
        <v>129</v>
      </c>
      <c r="B372" s="60" t="s">
        <v>111</v>
      </c>
      <c r="C372" s="62">
        <v>2012</v>
      </c>
      <c r="D372" s="1">
        <f t="shared" si="85"/>
        <v>116</v>
      </c>
      <c r="N372" s="267">
        <f t="shared" si="90"/>
        <v>116</v>
      </c>
      <c r="P372" s="96">
        <f t="shared" si="86"/>
        <v>116</v>
      </c>
      <c r="Q372" s="97">
        <f t="shared" si="91"/>
        <v>116</v>
      </c>
      <c r="S372" s="267"/>
      <c r="T372" s="267"/>
      <c r="U372" s="267">
        <f>3</f>
        <v>3</v>
      </c>
      <c r="V372" s="267">
        <f>0</f>
        <v>0</v>
      </c>
      <c r="W372" s="267">
        <f>22</f>
        <v>22</v>
      </c>
      <c r="X372" s="267"/>
      <c r="Y372" s="228">
        <f t="shared" si="92"/>
        <v>251</v>
      </c>
      <c r="Z372" s="120">
        <f>6+6+6+6</f>
        <v>24</v>
      </c>
      <c r="AA372" s="96">
        <f t="shared" ref="AA372:AA378" si="93">S372+T372+U372+V372+W372+X372+Y372</f>
        <v>276</v>
      </c>
      <c r="AB372" s="97">
        <f t="shared" ref="AB372:AB378" si="94">IF(C372=2012, AA372/3,AA372)+Z372</f>
        <v>116</v>
      </c>
      <c r="AC372" s="269"/>
      <c r="AD372" s="269"/>
      <c r="AE372" s="267">
        <f>24+39</f>
        <v>63</v>
      </c>
      <c r="AF372" s="267">
        <f>13+3</f>
        <v>16</v>
      </c>
      <c r="AG372" s="267">
        <f>18+21</f>
        <v>39</v>
      </c>
      <c r="AH372" s="267">
        <f>AV372</f>
        <v>133</v>
      </c>
      <c r="AI372" s="120"/>
      <c r="AJ372" s="96">
        <f t="shared" ref="AJ372:AJ378" si="95">SUM(AD372:AH372)</f>
        <v>251</v>
      </c>
      <c r="AK372" s="97">
        <f>IF(C372=2011, AJ372/3,AJ372)+AI372</f>
        <v>251</v>
      </c>
      <c r="AL372" s="22"/>
      <c r="AM372" s="41"/>
      <c r="AN372" s="41">
        <v>20</v>
      </c>
      <c r="AO372" s="41"/>
      <c r="AP372" s="41">
        <f>36+5</f>
        <v>41</v>
      </c>
      <c r="AQ372" s="41">
        <f>10+15</f>
        <v>25</v>
      </c>
      <c r="AR372" s="41">
        <f>32+15</f>
        <v>47</v>
      </c>
      <c r="AT372" s="95"/>
      <c r="AU372" s="96">
        <f>SUM(AM372:AS372)</f>
        <v>133</v>
      </c>
      <c r="AV372" s="97">
        <f>IF(C372=2015, AU372/3,AU372)+AT372</f>
        <v>133</v>
      </c>
    </row>
    <row r="373" spans="1:67" x14ac:dyDescent="0.25">
      <c r="A373" s="11" t="s">
        <v>782</v>
      </c>
      <c r="B373" s="60" t="s">
        <v>629</v>
      </c>
      <c r="C373" s="62">
        <v>2011</v>
      </c>
      <c r="D373" s="1">
        <f t="shared" si="85"/>
        <v>13</v>
      </c>
      <c r="N373" s="267">
        <f t="shared" si="90"/>
        <v>13</v>
      </c>
      <c r="P373" s="96">
        <f t="shared" si="86"/>
        <v>13</v>
      </c>
      <c r="Q373" s="97">
        <f t="shared" si="91"/>
        <v>13</v>
      </c>
      <c r="S373" s="201"/>
      <c r="T373" s="192"/>
      <c r="U373" s="183"/>
      <c r="V373" s="172"/>
      <c r="W373" s="172">
        <f>0+3</f>
        <v>3</v>
      </c>
      <c r="X373" s="172">
        <f>8+2</f>
        <v>10</v>
      </c>
      <c r="Y373" s="215">
        <f t="shared" si="92"/>
        <v>0</v>
      </c>
      <c r="Z373" s="120"/>
      <c r="AA373" s="96">
        <f t="shared" si="93"/>
        <v>13</v>
      </c>
      <c r="AB373" s="97">
        <f t="shared" si="94"/>
        <v>13</v>
      </c>
      <c r="AC373" s="22"/>
      <c r="AD373" s="267"/>
      <c r="AE373" s="172"/>
      <c r="AF373" s="172"/>
      <c r="AG373" s="172"/>
      <c r="AH373" s="172"/>
      <c r="AI373" s="120"/>
      <c r="AJ373" s="96">
        <f t="shared" si="95"/>
        <v>0</v>
      </c>
      <c r="AK373" s="97"/>
      <c r="AL373" s="22"/>
      <c r="AM373" s="41"/>
      <c r="AN373" s="41"/>
      <c r="AO373" s="41"/>
      <c r="AP373" s="41"/>
      <c r="AQ373" s="41"/>
      <c r="AR373" s="41"/>
      <c r="AT373" s="95"/>
      <c r="AU373" s="96"/>
      <c r="AV373" s="97"/>
    </row>
    <row r="374" spans="1:67" x14ac:dyDescent="0.25">
      <c r="A374" s="11" t="s">
        <v>690</v>
      </c>
      <c r="B374" s="60" t="s">
        <v>547</v>
      </c>
      <c r="C374" s="62">
        <v>2012</v>
      </c>
      <c r="D374" s="1">
        <f t="shared" si="85"/>
        <v>27.666666666666668</v>
      </c>
      <c r="N374" s="267">
        <f t="shared" si="90"/>
        <v>27.666666666666668</v>
      </c>
      <c r="P374" s="96">
        <f t="shared" si="86"/>
        <v>27.666666666666668</v>
      </c>
      <c r="Q374" s="97">
        <f t="shared" si="91"/>
        <v>27.666666666666668</v>
      </c>
      <c r="S374" s="228"/>
      <c r="T374" s="228"/>
      <c r="U374" s="228">
        <f>12+2</f>
        <v>14</v>
      </c>
      <c r="V374" s="228"/>
      <c r="W374" s="228">
        <f>36+4+6</f>
        <v>46</v>
      </c>
      <c r="X374" s="228">
        <f>23</f>
        <v>23</v>
      </c>
      <c r="Y374" s="228">
        <f t="shared" si="92"/>
        <v>0</v>
      </c>
      <c r="Z374" s="152"/>
      <c r="AA374" s="96">
        <f t="shared" si="93"/>
        <v>83</v>
      </c>
      <c r="AB374" s="97">
        <f t="shared" si="94"/>
        <v>27.666666666666668</v>
      </c>
      <c r="AC374" s="290"/>
      <c r="AD374" s="290"/>
      <c r="AE374" s="228">
        <f>0</f>
        <v>0</v>
      </c>
      <c r="AF374" s="228"/>
      <c r="AG374" s="228"/>
      <c r="AH374" s="228"/>
      <c r="AI374" s="120"/>
      <c r="AJ374" s="96">
        <f t="shared" si="95"/>
        <v>0</v>
      </c>
      <c r="AK374" s="97">
        <f>IF(C374=2011, AJ374/3,AJ374)+AI374</f>
        <v>0</v>
      </c>
      <c r="AL374" s="22"/>
      <c r="AM374" s="151"/>
      <c r="AN374" s="151"/>
      <c r="AO374" s="151"/>
      <c r="AP374" s="151"/>
      <c r="AQ374" s="151"/>
      <c r="AR374" s="151"/>
      <c r="AT374" s="95"/>
      <c r="AU374" s="96">
        <f>SUM(AM374:AS374)</f>
        <v>0</v>
      </c>
      <c r="AV374" s="97">
        <f>IF(C374=2015, AU374/3,AU374)+AT374</f>
        <v>0</v>
      </c>
    </row>
    <row r="375" spans="1:67" x14ac:dyDescent="0.25">
      <c r="A375" s="53" t="s">
        <v>1040</v>
      </c>
      <c r="B375" s="84" t="s">
        <v>86</v>
      </c>
      <c r="C375" s="54">
        <v>2011</v>
      </c>
      <c r="D375" s="1">
        <f t="shared" si="85"/>
        <v>11</v>
      </c>
      <c r="N375" s="267">
        <f t="shared" si="90"/>
        <v>11</v>
      </c>
      <c r="P375" s="96">
        <f t="shared" si="86"/>
        <v>11</v>
      </c>
      <c r="Q375" s="97">
        <f t="shared" si="91"/>
        <v>11</v>
      </c>
      <c r="S375" s="287">
        <f>11</f>
        <v>11</v>
      </c>
      <c r="T375" s="287"/>
      <c r="U375" s="287"/>
      <c r="V375" s="287"/>
      <c r="W375" s="287"/>
      <c r="X375" s="287"/>
      <c r="Y375" s="287">
        <f t="shared" si="92"/>
        <v>0</v>
      </c>
      <c r="Z375" s="120"/>
      <c r="AA375" s="96">
        <f t="shared" si="93"/>
        <v>11</v>
      </c>
      <c r="AB375" s="97">
        <f t="shared" si="94"/>
        <v>11</v>
      </c>
      <c r="AC375" s="22"/>
      <c r="AD375" s="287"/>
      <c r="AE375" s="287"/>
      <c r="AF375" s="287"/>
      <c r="AG375" s="287"/>
      <c r="AH375" s="287"/>
      <c r="AI375" s="120"/>
      <c r="AJ375" s="96">
        <f t="shared" si="95"/>
        <v>0</v>
      </c>
      <c r="AK375" s="97">
        <f>IF(C375=2011, AJ375/3,AJ375)+AI375</f>
        <v>0</v>
      </c>
      <c r="AL375" s="22"/>
      <c r="AM375" s="41"/>
      <c r="AN375" s="41"/>
      <c r="AO375" s="41"/>
      <c r="AP375" s="41"/>
      <c r="AQ375" s="41"/>
      <c r="AR375" s="41"/>
      <c r="AS375" s="41"/>
      <c r="AT375" s="95"/>
      <c r="AU375" s="96"/>
      <c r="AV375" s="97"/>
    </row>
    <row r="376" spans="1:67" x14ac:dyDescent="0.25">
      <c r="A376" s="11" t="s">
        <v>844</v>
      </c>
      <c r="B376" s="60" t="s">
        <v>85</v>
      </c>
      <c r="C376" s="62">
        <v>2012</v>
      </c>
      <c r="D376" s="1">
        <f t="shared" si="85"/>
        <v>13</v>
      </c>
      <c r="N376" s="267">
        <f t="shared" si="90"/>
        <v>13</v>
      </c>
      <c r="P376" s="96">
        <f t="shared" si="86"/>
        <v>13</v>
      </c>
      <c r="Q376" s="97">
        <f t="shared" si="91"/>
        <v>13</v>
      </c>
      <c r="S376" s="201"/>
      <c r="T376" s="201"/>
      <c r="U376" s="201"/>
      <c r="V376" s="201"/>
      <c r="W376" s="201">
        <f>22+14+3</f>
        <v>39</v>
      </c>
      <c r="X376" s="201"/>
      <c r="Y376" s="215">
        <f t="shared" si="92"/>
        <v>0</v>
      </c>
      <c r="Z376" s="152"/>
      <c r="AA376" s="96">
        <f t="shared" si="93"/>
        <v>39</v>
      </c>
      <c r="AB376" s="97">
        <f t="shared" si="94"/>
        <v>13</v>
      </c>
      <c r="AE376" s="192"/>
      <c r="AF376" s="192"/>
      <c r="AG376" s="192"/>
      <c r="AH376" s="192"/>
      <c r="AI376" s="120"/>
      <c r="AJ376" s="96">
        <f t="shared" si="95"/>
        <v>0</v>
      </c>
      <c r="AK376" s="97">
        <f>IF(C376=2011, AJ376/3,AJ376)+AI376</f>
        <v>0</v>
      </c>
      <c r="AL376" s="22"/>
      <c r="AM376" s="151"/>
      <c r="AN376" s="151"/>
      <c r="AO376" s="151"/>
      <c r="AP376" s="151"/>
      <c r="AQ376" s="151"/>
      <c r="AR376" s="151"/>
      <c r="AT376" s="95"/>
      <c r="AU376" s="96"/>
      <c r="AV376" s="97"/>
    </row>
    <row r="377" spans="1:67" x14ac:dyDescent="0.25">
      <c r="A377" s="71" t="s">
        <v>254</v>
      </c>
      <c r="B377" s="71" t="s">
        <v>231</v>
      </c>
      <c r="C377" s="72">
        <v>2011</v>
      </c>
      <c r="D377" s="1">
        <f t="shared" si="85"/>
        <v>0</v>
      </c>
      <c r="N377" s="267">
        <f t="shared" si="90"/>
        <v>0</v>
      </c>
      <c r="P377" s="96">
        <f t="shared" si="86"/>
        <v>0</v>
      </c>
      <c r="Q377" s="97">
        <f t="shared" si="91"/>
        <v>0</v>
      </c>
      <c r="S377" s="201"/>
      <c r="T377" s="201"/>
      <c r="U377" s="201"/>
      <c r="V377" s="201"/>
      <c r="W377" s="201"/>
      <c r="X377" s="201"/>
      <c r="Y377" s="215">
        <f t="shared" si="92"/>
        <v>0</v>
      </c>
      <c r="Z377" s="120"/>
      <c r="AA377" s="96">
        <f t="shared" si="93"/>
        <v>0</v>
      </c>
      <c r="AB377" s="97">
        <f t="shared" si="94"/>
        <v>0</v>
      </c>
      <c r="AC377" s="287"/>
      <c r="AD377" s="287"/>
      <c r="AE377" s="201"/>
      <c r="AF377" s="201"/>
      <c r="AG377" s="201">
        <f>0</f>
        <v>0</v>
      </c>
      <c r="AH377" s="201">
        <f>AV377</f>
        <v>0</v>
      </c>
      <c r="AI377" s="120"/>
      <c r="AJ377" s="96">
        <f t="shared" si="95"/>
        <v>0</v>
      </c>
      <c r="AK377" s="97">
        <f>IF(C377=2011, AJ377/3,AJ377)+AI377</f>
        <v>0</v>
      </c>
      <c r="AL377" s="22"/>
      <c r="AM377" s="287"/>
      <c r="AN377" s="287"/>
      <c r="AO377" s="287">
        <f>0</f>
        <v>0</v>
      </c>
      <c r="AP377" s="287"/>
      <c r="AQ377" s="287"/>
      <c r="AR377" s="287"/>
      <c r="AS377" s="285"/>
      <c r="AT377" s="95"/>
      <c r="AU377" s="96">
        <f>SUM(AM377:AS377)</f>
        <v>0</v>
      </c>
      <c r="AV377" s="97">
        <f>IF(C377=2015, AU377/3,AU377)+AT377</f>
        <v>0</v>
      </c>
    </row>
    <row r="378" spans="1:67" x14ac:dyDescent="0.25">
      <c r="A378" s="11" t="s">
        <v>851</v>
      </c>
      <c r="B378" s="60" t="s">
        <v>629</v>
      </c>
      <c r="C378" s="62">
        <v>2011</v>
      </c>
      <c r="D378" s="1">
        <f t="shared" si="85"/>
        <v>4</v>
      </c>
      <c r="I378" s="154"/>
      <c r="J378" s="154"/>
      <c r="K378" s="154"/>
      <c r="L378" s="154"/>
      <c r="M378" s="154"/>
      <c r="N378" s="267">
        <f t="shared" si="90"/>
        <v>4</v>
      </c>
      <c r="P378" s="96">
        <f t="shared" si="86"/>
        <v>4</v>
      </c>
      <c r="Q378" s="97">
        <f t="shared" si="91"/>
        <v>4</v>
      </c>
      <c r="R378" s="154"/>
      <c r="S378" s="267"/>
      <c r="T378" s="267"/>
      <c r="U378" s="267"/>
      <c r="V378" s="267"/>
      <c r="W378" s="267">
        <f>4</f>
        <v>4</v>
      </c>
      <c r="X378" s="267"/>
      <c r="Y378" s="267">
        <f t="shared" si="92"/>
        <v>0</v>
      </c>
      <c r="Z378" s="120"/>
      <c r="AA378" s="96">
        <f t="shared" si="93"/>
        <v>4</v>
      </c>
      <c r="AB378" s="97">
        <f t="shared" si="94"/>
        <v>4</v>
      </c>
      <c r="AC378" s="22"/>
      <c r="AD378" s="267"/>
      <c r="AE378" s="267"/>
      <c r="AF378" s="267"/>
      <c r="AG378" s="267"/>
      <c r="AH378" s="267"/>
      <c r="AI378" s="120"/>
      <c r="AJ378" s="96">
        <f t="shared" si="95"/>
        <v>0</v>
      </c>
      <c r="AK378" s="97">
        <f>IF(C378=2011, AJ378/3,AJ378)+AI378</f>
        <v>0</v>
      </c>
      <c r="AL378" s="22"/>
      <c r="AM378" s="41"/>
      <c r="AN378" s="41"/>
      <c r="AO378" s="41"/>
      <c r="AP378" s="41"/>
      <c r="AQ378" s="41"/>
      <c r="AR378" s="41"/>
      <c r="AT378" s="95"/>
      <c r="AU378" s="96"/>
      <c r="AV378" s="97"/>
    </row>
    <row r="379" spans="1:67" x14ac:dyDescent="0.25">
      <c r="A379" s="71" t="s">
        <v>981</v>
      </c>
      <c r="B379" s="60" t="s">
        <v>6</v>
      </c>
      <c r="C379" s="72">
        <v>2013</v>
      </c>
      <c r="D379" s="1">
        <f t="shared" si="85"/>
        <v>45.666666666666664</v>
      </c>
      <c r="E379" s="283">
        <f>42</f>
        <v>42</v>
      </c>
      <c r="F379" s="278">
        <f>4</f>
        <v>4</v>
      </c>
      <c r="K379" s="241">
        <f>9</f>
        <v>9</v>
      </c>
      <c r="N379" s="267">
        <f t="shared" si="90"/>
        <v>2</v>
      </c>
      <c r="P379" s="96">
        <f t="shared" si="86"/>
        <v>11</v>
      </c>
      <c r="Q379" s="97">
        <f t="shared" si="91"/>
        <v>3.6666666666666665</v>
      </c>
      <c r="S379" s="228"/>
      <c r="T379" s="228">
        <f>2</f>
        <v>2</v>
      </c>
      <c r="U379" s="228"/>
      <c r="V379" s="228"/>
      <c r="W379" s="228"/>
      <c r="X379" s="228"/>
      <c r="Y379" s="215">
        <f t="shared" si="92"/>
        <v>0</v>
      </c>
      <c r="Z379" s="152"/>
      <c r="AA379" s="96">
        <f>AM379+S379+T379+U379+V379+W379+X379+Y379</f>
        <v>2</v>
      </c>
      <c r="AB379" s="97">
        <f>IF(C379=2017, AA379/3,AA379)+Z379</f>
        <v>2</v>
      </c>
      <c r="AE379" s="50"/>
      <c r="AF379" s="50"/>
      <c r="AG379" s="50"/>
      <c r="AH379" s="50"/>
      <c r="AI379" s="120"/>
      <c r="AJ379" s="96">
        <f>SUM(AE379:AH379)</f>
        <v>0</v>
      </c>
      <c r="AK379" s="97">
        <f>IF(C379=2016, AJ379/3,AJ379)+AI379</f>
        <v>0</v>
      </c>
      <c r="AL379" s="22"/>
      <c r="AM379" s="267"/>
      <c r="AN379" s="267"/>
      <c r="AO379" s="267"/>
      <c r="AP379" s="267"/>
      <c r="AQ379" s="267"/>
      <c r="AR379" s="267"/>
      <c r="AS379" s="265"/>
      <c r="AT379" s="95"/>
      <c r="AU379" s="96"/>
      <c r="AV379" s="97"/>
    </row>
    <row r="380" spans="1:67" x14ac:dyDescent="0.25">
      <c r="A380" s="11" t="s">
        <v>1161</v>
      </c>
      <c r="B380" s="87" t="s">
        <v>87</v>
      </c>
      <c r="C380" s="3">
        <v>2011</v>
      </c>
      <c r="D380" s="1">
        <f t="shared" si="85"/>
        <v>9</v>
      </c>
      <c r="L380" s="228">
        <f>9</f>
        <v>9</v>
      </c>
      <c r="N380" s="267">
        <f t="shared" si="90"/>
        <v>0</v>
      </c>
      <c r="P380" s="96">
        <f t="shared" si="86"/>
        <v>9</v>
      </c>
      <c r="Q380" s="97">
        <f t="shared" si="91"/>
        <v>9</v>
      </c>
    </row>
    <row r="381" spans="1:67" x14ac:dyDescent="0.25">
      <c r="A381" s="60" t="s">
        <v>743</v>
      </c>
      <c r="B381" s="65" t="s">
        <v>63</v>
      </c>
      <c r="C381" s="62">
        <v>2010</v>
      </c>
      <c r="D381" s="1">
        <f t="shared" si="85"/>
        <v>102</v>
      </c>
      <c r="E381" s="283">
        <f>0</f>
        <v>0</v>
      </c>
      <c r="I381" s="154">
        <f>34</f>
        <v>34</v>
      </c>
      <c r="J381" s="154">
        <f>0+2</f>
        <v>2</v>
      </c>
      <c r="K381" s="154">
        <f>18</f>
        <v>18</v>
      </c>
      <c r="L381" s="154"/>
      <c r="M381" s="154"/>
      <c r="N381" s="267">
        <f t="shared" si="90"/>
        <v>48</v>
      </c>
      <c r="P381" s="96">
        <f t="shared" si="86"/>
        <v>102</v>
      </c>
      <c r="Q381" s="97">
        <f t="shared" si="91"/>
        <v>102</v>
      </c>
      <c r="R381" s="154"/>
      <c r="S381" s="267">
        <f>2</f>
        <v>2</v>
      </c>
      <c r="T381" s="267">
        <f>2+4</f>
        <v>6</v>
      </c>
      <c r="U381" s="267"/>
      <c r="V381" s="267">
        <f>5+1</f>
        <v>6</v>
      </c>
      <c r="W381" s="267">
        <f>15+6</f>
        <v>21</v>
      </c>
      <c r="X381" s="267">
        <f>0+5</f>
        <v>5</v>
      </c>
      <c r="Y381" s="215">
        <f t="shared" ref="Y381:Y386" si="96">AK381</f>
        <v>8</v>
      </c>
      <c r="Z381" s="120"/>
      <c r="AA381" s="96">
        <f>S381+T381+U381+V381+W381+X381+Y381</f>
        <v>48</v>
      </c>
      <c r="AB381" s="97">
        <f>IF(C381=2012, AA381/3,AA381)+Z381</f>
        <v>48</v>
      </c>
      <c r="AC381" s="22"/>
      <c r="AD381" s="267">
        <f>5+3</f>
        <v>8</v>
      </c>
      <c r="AE381" s="168"/>
      <c r="AF381" s="168"/>
      <c r="AG381" s="168"/>
      <c r="AH381" s="168"/>
      <c r="AI381" s="120"/>
      <c r="AJ381" s="96">
        <f>SUM(AD381:AH381)</f>
        <v>8</v>
      </c>
      <c r="AK381" s="97">
        <f>IF(C381=2011, AJ381/3,AJ381)+AI381</f>
        <v>8</v>
      </c>
      <c r="AL381" s="22"/>
      <c r="AT381" s="95"/>
      <c r="AU381" s="96"/>
      <c r="AV381" s="97"/>
    </row>
    <row r="382" spans="1:67" s="17" customFormat="1" x14ac:dyDescent="0.25">
      <c r="A382" s="11" t="s">
        <v>956</v>
      </c>
      <c r="B382" s="60" t="s">
        <v>63</v>
      </c>
      <c r="C382" s="62">
        <v>2012</v>
      </c>
      <c r="D382" s="1">
        <f t="shared" si="85"/>
        <v>0</v>
      </c>
      <c r="E382" s="283"/>
      <c r="F382" s="278"/>
      <c r="G382" s="120"/>
      <c r="H382" s="13"/>
      <c r="I382" s="287"/>
      <c r="J382" s="287"/>
      <c r="K382" s="287"/>
      <c r="L382" s="287"/>
      <c r="M382" s="287"/>
      <c r="N382" s="267">
        <f t="shared" si="90"/>
        <v>0</v>
      </c>
      <c r="O382" s="120"/>
      <c r="P382" s="96">
        <f t="shared" si="86"/>
        <v>0</v>
      </c>
      <c r="Q382" s="97">
        <f t="shared" si="91"/>
        <v>0</v>
      </c>
      <c r="R382" s="287"/>
      <c r="S382" s="201"/>
      <c r="T382" s="192">
        <f>0</f>
        <v>0</v>
      </c>
      <c r="U382" s="183"/>
      <c r="V382" s="172"/>
      <c r="W382" s="172"/>
      <c r="X382" s="172"/>
      <c r="Y382" s="215">
        <f t="shared" si="96"/>
        <v>0</v>
      </c>
      <c r="Z382" s="152"/>
      <c r="AA382" s="96">
        <f>S382+T382+U382+V382+W382+X382+Y382</f>
        <v>0</v>
      </c>
      <c r="AB382" s="97">
        <f>IF(C382=2012, AA382/3,AA382)+Z382</f>
        <v>0</v>
      </c>
      <c r="AC382" s="13"/>
      <c r="AD382" s="13"/>
      <c r="AE382" s="172"/>
      <c r="AF382" s="172"/>
      <c r="AG382" s="172"/>
      <c r="AH382" s="172"/>
      <c r="AI382" s="120"/>
      <c r="AJ382" s="96">
        <f>SUM(AD382:AH382)</f>
        <v>0</v>
      </c>
      <c r="AK382" s="97">
        <f>IF(C382=2011, AJ382/3,AJ382)+AI382</f>
        <v>0</v>
      </c>
      <c r="AL382" s="22"/>
      <c r="AM382" s="151"/>
      <c r="AN382" s="151"/>
      <c r="AO382" s="151"/>
      <c r="AP382" s="151"/>
      <c r="AQ382" s="151"/>
      <c r="AR382" s="151"/>
      <c r="AS382" s="13"/>
      <c r="AT382" s="95"/>
      <c r="AU382" s="96"/>
      <c r="AV382" s="97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spans="1:67" s="17" customFormat="1" x14ac:dyDescent="0.25">
      <c r="A383" s="71" t="s">
        <v>927</v>
      </c>
      <c r="B383" s="71" t="s">
        <v>0</v>
      </c>
      <c r="C383" s="72">
        <v>2013</v>
      </c>
      <c r="D383" s="1">
        <f t="shared" si="85"/>
        <v>192.66666666666666</v>
      </c>
      <c r="E383" s="283">
        <f>52</f>
        <v>52</v>
      </c>
      <c r="F383" s="278"/>
      <c r="G383" s="120"/>
      <c r="H383" s="13"/>
      <c r="I383" s="261">
        <f>42+3</f>
        <v>45</v>
      </c>
      <c r="J383" s="246">
        <f>0+12</f>
        <v>12</v>
      </c>
      <c r="K383" s="241">
        <f>33+12</f>
        <v>45</v>
      </c>
      <c r="L383" s="228">
        <f>0+33</f>
        <v>33</v>
      </c>
      <c r="M383" s="215"/>
      <c r="N383" s="267">
        <f t="shared" si="90"/>
        <v>287</v>
      </c>
      <c r="O383" s="120"/>
      <c r="P383" s="96">
        <f t="shared" si="86"/>
        <v>422</v>
      </c>
      <c r="Q383" s="97">
        <f t="shared" si="91"/>
        <v>140.66666666666666</v>
      </c>
      <c r="R383" s="215"/>
      <c r="S383" s="201">
        <f>38+3</f>
        <v>41</v>
      </c>
      <c r="T383" s="192">
        <f>22+20</f>
        <v>42</v>
      </c>
      <c r="U383" s="183">
        <f>24+14+4</f>
        <v>42</v>
      </c>
      <c r="V383" s="183">
        <f>49+18+1</f>
        <v>68</v>
      </c>
      <c r="W383" s="183">
        <f>31+9+3</f>
        <v>43</v>
      </c>
      <c r="X383" s="183">
        <f>15+4</f>
        <v>19</v>
      </c>
      <c r="Y383" s="215">
        <f t="shared" si="96"/>
        <v>32</v>
      </c>
      <c r="Z383" s="152"/>
      <c r="AA383" s="96">
        <f>AM383+S383+T383+U383+V383+W383+X383+Y383</f>
        <v>287</v>
      </c>
      <c r="AB383" s="97">
        <f>IF(C383=2017, AA383/3,AA383)+Z383</f>
        <v>287</v>
      </c>
      <c r="AC383" s="290"/>
      <c r="AD383" s="290"/>
      <c r="AE383" s="183">
        <f>32</f>
        <v>32</v>
      </c>
      <c r="AF383" s="183"/>
      <c r="AG383" s="183"/>
      <c r="AH383" s="183"/>
      <c r="AI383" s="120"/>
      <c r="AJ383" s="96">
        <f>SUM(AE383:AH383)</f>
        <v>32</v>
      </c>
      <c r="AK383" s="97">
        <f>IF(C383=2016, AJ383/3,AJ383)+AI383</f>
        <v>32</v>
      </c>
      <c r="AL383" s="22"/>
      <c r="AM383" s="287"/>
      <c r="AN383" s="287"/>
      <c r="AO383" s="287"/>
      <c r="AP383" s="287"/>
      <c r="AQ383" s="287"/>
      <c r="AR383" s="287"/>
      <c r="AS383" s="285"/>
      <c r="AT383" s="95"/>
      <c r="AU383" s="96">
        <f>SUM(AM383:AS383)</f>
        <v>0</v>
      </c>
      <c r="AV383" s="97">
        <f>IF(C383=2015, AU383/3,AU383)+AT383</f>
        <v>0</v>
      </c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spans="1:67" s="17" customFormat="1" x14ac:dyDescent="0.25">
      <c r="A384" s="71" t="s">
        <v>556</v>
      </c>
      <c r="B384" s="71" t="s">
        <v>64</v>
      </c>
      <c r="C384" s="72">
        <v>2011</v>
      </c>
      <c r="D384" s="1">
        <f t="shared" si="85"/>
        <v>6</v>
      </c>
      <c r="E384" s="283"/>
      <c r="F384" s="278"/>
      <c r="G384" s="120"/>
      <c r="H384" s="13"/>
      <c r="I384" s="154"/>
      <c r="J384" s="154"/>
      <c r="K384" s="154"/>
      <c r="L384" s="154"/>
      <c r="M384" s="154"/>
      <c r="N384" s="267">
        <f t="shared" si="90"/>
        <v>6</v>
      </c>
      <c r="O384" s="120"/>
      <c r="P384" s="96">
        <f t="shared" si="86"/>
        <v>6</v>
      </c>
      <c r="Q384" s="97">
        <f t="shared" si="91"/>
        <v>6</v>
      </c>
      <c r="R384" s="154"/>
      <c r="S384" s="228"/>
      <c r="T384" s="228"/>
      <c r="U384" s="228"/>
      <c r="V384" s="228">
        <f>0+3+3</f>
        <v>6</v>
      </c>
      <c r="W384" s="228"/>
      <c r="X384" s="228">
        <f>0</f>
        <v>0</v>
      </c>
      <c r="Y384" s="228">
        <f t="shared" si="96"/>
        <v>0</v>
      </c>
      <c r="Z384" s="120"/>
      <c r="AA384" s="96">
        <f>S384+T384+U384+V384+W384+X384+Y384</f>
        <v>6</v>
      </c>
      <c r="AB384" s="97">
        <f>IF(C384=2012, AA384/3,AA384)+Z384</f>
        <v>6</v>
      </c>
      <c r="AC384" s="287"/>
      <c r="AD384" s="267"/>
      <c r="AE384" s="228">
        <f>0</f>
        <v>0</v>
      </c>
      <c r="AF384" s="228"/>
      <c r="AG384" s="228">
        <f>0</f>
        <v>0</v>
      </c>
      <c r="AH384" s="228"/>
      <c r="AI384" s="120"/>
      <c r="AJ384" s="96">
        <f>SUM(AD384:AH384)</f>
        <v>0</v>
      </c>
      <c r="AK384" s="97">
        <f>IF(C384=2011, AJ384/3,AJ384)+AI384</f>
        <v>0</v>
      </c>
      <c r="AL384" s="22"/>
      <c r="AM384" s="287"/>
      <c r="AN384" s="287"/>
      <c r="AO384" s="287"/>
      <c r="AP384" s="287"/>
      <c r="AQ384" s="287"/>
      <c r="AR384" s="287"/>
      <c r="AS384" s="285"/>
      <c r="AT384" s="95"/>
      <c r="AU384" s="96"/>
      <c r="AV384" s="97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spans="1:67" x14ac:dyDescent="0.25">
      <c r="A385" s="71" t="s">
        <v>725</v>
      </c>
      <c r="B385" s="71" t="s">
        <v>0</v>
      </c>
      <c r="C385" s="72">
        <v>2012</v>
      </c>
      <c r="D385" s="1">
        <f t="shared" si="85"/>
        <v>55</v>
      </c>
      <c r="I385" s="154"/>
      <c r="J385" s="154"/>
      <c r="K385" s="154"/>
      <c r="L385" s="154"/>
      <c r="M385" s="154"/>
      <c r="N385" s="267">
        <f t="shared" si="90"/>
        <v>55</v>
      </c>
      <c r="P385" s="96">
        <f t="shared" si="86"/>
        <v>55</v>
      </c>
      <c r="Q385" s="97">
        <f t="shared" si="91"/>
        <v>55</v>
      </c>
      <c r="R385" s="154"/>
      <c r="S385" s="201"/>
      <c r="T385" s="192">
        <f>50</f>
        <v>50</v>
      </c>
      <c r="U385" s="183"/>
      <c r="V385" s="172">
        <f>23+10+9</f>
        <v>42</v>
      </c>
      <c r="W385" s="172">
        <f>26+8+9</f>
        <v>43</v>
      </c>
      <c r="X385" s="172">
        <f>23+1+6</f>
        <v>30</v>
      </c>
      <c r="Y385" s="215">
        <f t="shared" si="96"/>
        <v>0</v>
      </c>
      <c r="Z385" s="152"/>
      <c r="AA385" s="96">
        <f>S385+T385+U385+V385+W385+X385+Y385</f>
        <v>165</v>
      </c>
      <c r="AB385" s="97">
        <f>IF(C385=2012, AA385/3,AA385)+Z385</f>
        <v>55</v>
      </c>
      <c r="AC385" s="290"/>
      <c r="AD385" s="290"/>
      <c r="AE385" s="172"/>
      <c r="AF385" s="172"/>
      <c r="AG385" s="172"/>
      <c r="AH385" s="172"/>
      <c r="AI385" s="120"/>
      <c r="AJ385" s="96">
        <f>SUM(AD385:AH385)</f>
        <v>0</v>
      </c>
      <c r="AK385" s="97">
        <f>IF(C385=2011, AJ385/3,AJ385)+AI385</f>
        <v>0</v>
      </c>
      <c r="AL385" s="22"/>
      <c r="AM385" s="267"/>
      <c r="AN385" s="267"/>
      <c r="AO385" s="267"/>
      <c r="AP385" s="267"/>
      <c r="AQ385" s="267"/>
      <c r="AR385" s="267"/>
      <c r="AS385" s="265"/>
      <c r="AT385" s="95"/>
      <c r="AU385" s="96">
        <f>SUM(AM385:AS385)</f>
        <v>0</v>
      </c>
      <c r="AV385" s="97">
        <f>IF(C385=2015, AU385/3,AU385)+AT385</f>
        <v>0</v>
      </c>
    </row>
    <row r="386" spans="1:67" x14ac:dyDescent="0.25">
      <c r="A386" s="53" t="s">
        <v>1043</v>
      </c>
      <c r="B386" s="84" t="s">
        <v>86</v>
      </c>
      <c r="C386" s="54">
        <v>2011</v>
      </c>
      <c r="D386" s="1">
        <f t="shared" si="85"/>
        <v>9</v>
      </c>
      <c r="N386" s="267">
        <f t="shared" si="90"/>
        <v>9</v>
      </c>
      <c r="P386" s="96">
        <f t="shared" si="86"/>
        <v>9</v>
      </c>
      <c r="Q386" s="97">
        <f t="shared" si="91"/>
        <v>9</v>
      </c>
      <c r="S386" s="201">
        <f>9</f>
        <v>9</v>
      </c>
      <c r="T386" s="192"/>
      <c r="U386" s="183"/>
      <c r="V386" s="168"/>
      <c r="W386" s="50"/>
      <c r="X386" s="50"/>
      <c r="Y386" s="215">
        <f t="shared" si="96"/>
        <v>0</v>
      </c>
      <c r="Z386" s="120"/>
      <c r="AA386" s="96">
        <f>S386+T386+U386+V386+W386+X386+Y386</f>
        <v>9</v>
      </c>
      <c r="AB386" s="97">
        <f>IF(C386=2012, AA386/3,AA386)+Z386</f>
        <v>9</v>
      </c>
      <c r="AC386" s="22"/>
      <c r="AD386" s="287"/>
      <c r="AE386" s="50"/>
      <c r="AF386" s="50"/>
      <c r="AG386" s="50"/>
      <c r="AH386" s="50"/>
      <c r="AI386" s="120"/>
      <c r="AJ386" s="96">
        <f>SUM(AD386:AH386)</f>
        <v>0</v>
      </c>
      <c r="AK386" s="97">
        <f>IF(C386=2011, AJ386/3,AJ386)+AI386</f>
        <v>0</v>
      </c>
      <c r="AL386" s="22"/>
      <c r="AM386" s="41"/>
      <c r="AN386" s="41"/>
      <c r="AO386" s="41"/>
      <c r="AP386" s="41"/>
      <c r="AQ386" s="41"/>
      <c r="AR386" s="41"/>
      <c r="AS386" s="41"/>
      <c r="AT386" s="95"/>
      <c r="AU386" s="96"/>
      <c r="AV386" s="97"/>
    </row>
    <row r="387" spans="1:67" x14ac:dyDescent="0.25">
      <c r="A387" s="11" t="s">
        <v>1129</v>
      </c>
      <c r="B387" s="11" t="s">
        <v>1088</v>
      </c>
      <c r="C387" s="3">
        <v>2013</v>
      </c>
      <c r="D387" s="1">
        <f t="shared" si="85"/>
        <v>0</v>
      </c>
      <c r="L387" s="228">
        <f>0</f>
        <v>0</v>
      </c>
      <c r="N387" s="267">
        <f t="shared" si="90"/>
        <v>0</v>
      </c>
      <c r="P387" s="96">
        <f t="shared" si="86"/>
        <v>0</v>
      </c>
      <c r="Q387" s="97">
        <f t="shared" si="91"/>
        <v>0</v>
      </c>
      <c r="S387" s="201"/>
      <c r="T387" s="192"/>
      <c r="U387" s="183"/>
      <c r="V387" s="172"/>
      <c r="W387" s="172"/>
      <c r="X387" s="172"/>
      <c r="Y387" s="215"/>
      <c r="Z387" s="287"/>
      <c r="AE387" s="172"/>
      <c r="AF387" s="172"/>
      <c r="AG387" s="172"/>
      <c r="AH387" s="172"/>
      <c r="AI387" s="287"/>
      <c r="AL387" s="285"/>
      <c r="AM387" s="228"/>
      <c r="AN387" s="228"/>
      <c r="AO387" s="228"/>
      <c r="AP387" s="228"/>
      <c r="AQ387" s="228"/>
      <c r="AR387" s="228"/>
      <c r="AS387" s="36"/>
    </row>
    <row r="388" spans="1:67" x14ac:dyDescent="0.25">
      <c r="A388" s="53" t="s">
        <v>1054</v>
      </c>
      <c r="B388" s="11" t="s">
        <v>994</v>
      </c>
      <c r="C388" s="54">
        <v>2010</v>
      </c>
      <c r="D388" s="1">
        <f t="shared" si="85"/>
        <v>0</v>
      </c>
      <c r="N388" s="267">
        <f t="shared" si="90"/>
        <v>0</v>
      </c>
      <c r="P388" s="96">
        <f t="shared" si="86"/>
        <v>0</v>
      </c>
      <c r="Q388" s="97">
        <f t="shared" si="91"/>
        <v>0</v>
      </c>
      <c r="S388" s="201">
        <f>0</f>
        <v>0</v>
      </c>
      <c r="T388" s="201"/>
      <c r="U388" s="201"/>
      <c r="V388" s="201"/>
      <c r="W388" s="201"/>
      <c r="X388" s="201"/>
      <c r="Y388" s="215">
        <f>AK388</f>
        <v>0</v>
      </c>
      <c r="Z388" s="120"/>
      <c r="AA388" s="96">
        <f>S388+T388+U388+V388+W388+X388+Y388</f>
        <v>0</v>
      </c>
      <c r="AB388" s="97">
        <f>IF(C388=2012, AA388/3,AA388)+Z388</f>
        <v>0</v>
      </c>
      <c r="AC388" s="22"/>
      <c r="AD388" s="287"/>
      <c r="AE388" s="201"/>
      <c r="AF388" s="201"/>
      <c r="AG388" s="201"/>
      <c r="AH388" s="201"/>
      <c r="AI388" s="120"/>
      <c r="AJ388" s="96">
        <f>SUM(AD388:AH388)</f>
        <v>0</v>
      </c>
      <c r="AK388" s="97">
        <f>IF(C388=2011, AJ388/3,AJ388)+AI388</f>
        <v>0</v>
      </c>
      <c r="AL388" s="22"/>
      <c r="AM388" s="41"/>
      <c r="AN388" s="41"/>
      <c r="AO388" s="41"/>
      <c r="AP388" s="41"/>
      <c r="AQ388" s="41"/>
      <c r="AR388" s="41"/>
      <c r="AS388" s="41"/>
      <c r="AT388" s="95"/>
      <c r="AU388" s="96"/>
      <c r="AV388" s="97"/>
    </row>
    <row r="389" spans="1:67" x14ac:dyDescent="0.25">
      <c r="A389" s="71" t="s">
        <v>838</v>
      </c>
      <c r="B389" s="71" t="s">
        <v>834</v>
      </c>
      <c r="C389" s="72">
        <v>2012</v>
      </c>
      <c r="D389" s="1">
        <f t="shared" si="85"/>
        <v>46</v>
      </c>
      <c r="E389" s="283">
        <f>0</f>
        <v>0</v>
      </c>
      <c r="I389" s="261">
        <f>0</f>
        <v>0</v>
      </c>
      <c r="K389" s="241">
        <f>0</f>
        <v>0</v>
      </c>
      <c r="N389" s="267">
        <f t="shared" si="90"/>
        <v>46</v>
      </c>
      <c r="P389" s="96">
        <f t="shared" si="86"/>
        <v>46</v>
      </c>
      <c r="Q389" s="97">
        <f t="shared" si="91"/>
        <v>46</v>
      </c>
      <c r="S389" s="215"/>
      <c r="T389" s="215"/>
      <c r="U389" s="215"/>
      <c r="V389" s="215">
        <f>40+6</f>
        <v>46</v>
      </c>
      <c r="W389" s="215">
        <f>0</f>
        <v>0</v>
      </c>
      <c r="X389" s="215"/>
      <c r="Y389" s="215">
        <f>AK389</f>
        <v>0</v>
      </c>
      <c r="Z389" s="152"/>
      <c r="AA389" s="96">
        <f>AM389+S389+T389+U389+V389+W389+X389+Y389</f>
        <v>46</v>
      </c>
      <c r="AB389" s="97">
        <f>IF(C389=2017, AA389/3,AA389)+Z389</f>
        <v>46</v>
      </c>
      <c r="AE389" s="215"/>
      <c r="AF389" s="215"/>
      <c r="AG389" s="215"/>
      <c r="AH389" s="215"/>
      <c r="AI389" s="120"/>
      <c r="AJ389" s="96">
        <f>SUM(AE389:AH389)</f>
        <v>0</v>
      </c>
      <c r="AK389" s="97">
        <f>IF(C389=2016, AJ389/3,AJ389)+AI389</f>
        <v>0</v>
      </c>
      <c r="AL389" s="22"/>
      <c r="AM389" s="267"/>
      <c r="AN389" s="267"/>
      <c r="AO389" s="267"/>
      <c r="AP389" s="267"/>
      <c r="AQ389" s="267"/>
      <c r="AR389" s="267"/>
      <c r="AS389" s="265"/>
      <c r="AT389" s="95"/>
      <c r="AU389" s="96"/>
      <c r="AV389" s="97"/>
    </row>
    <row r="390" spans="1:67" x14ac:dyDescent="0.25">
      <c r="A390" s="71" t="s">
        <v>713</v>
      </c>
      <c r="B390" s="71" t="s">
        <v>0</v>
      </c>
      <c r="C390" s="72">
        <v>2012</v>
      </c>
      <c r="D390" s="1">
        <f t="shared" si="85"/>
        <v>228</v>
      </c>
      <c r="E390" s="283">
        <f>56</f>
        <v>56</v>
      </c>
      <c r="I390" s="154"/>
      <c r="J390" s="154">
        <f>22</f>
        <v>22</v>
      </c>
      <c r="K390" s="154">
        <f>40</f>
        <v>40</v>
      </c>
      <c r="L390" s="154">
        <f>18</f>
        <v>18</v>
      </c>
      <c r="M390" s="154"/>
      <c r="N390" s="267">
        <f t="shared" si="90"/>
        <v>92</v>
      </c>
      <c r="P390" s="96">
        <f t="shared" si="86"/>
        <v>172</v>
      </c>
      <c r="Q390" s="97">
        <f t="shared" si="91"/>
        <v>172</v>
      </c>
      <c r="R390" s="154"/>
      <c r="S390" s="228">
        <f>60</f>
        <v>60</v>
      </c>
      <c r="T390" s="228">
        <f>22</f>
        <v>22</v>
      </c>
      <c r="U390" s="228">
        <f>24+3</f>
        <v>27</v>
      </c>
      <c r="V390" s="228">
        <f>52+10+9</f>
        <v>71</v>
      </c>
      <c r="W390" s="228">
        <f>38+8+9</f>
        <v>55</v>
      </c>
      <c r="X390" s="228">
        <f>34+1+6</f>
        <v>41</v>
      </c>
      <c r="Y390" s="228">
        <f>AK390</f>
        <v>0</v>
      </c>
      <c r="Z390" s="152"/>
      <c r="AA390" s="96">
        <f>S390+T390+U390+V390+W390+X390+Y390</f>
        <v>276</v>
      </c>
      <c r="AB390" s="97">
        <f>IF(C390=2012, AA390/3,AA390)+Z390</f>
        <v>92</v>
      </c>
      <c r="AC390" s="290"/>
      <c r="AD390" s="290"/>
      <c r="AE390" s="228"/>
      <c r="AF390" s="228"/>
      <c r="AG390" s="228"/>
      <c r="AH390" s="228"/>
      <c r="AI390" s="120"/>
      <c r="AJ390" s="96">
        <f>SUM(AD390:AH390)</f>
        <v>0</v>
      </c>
      <c r="AK390" s="97">
        <f>IF(C390=2011, AJ390/3,AJ390)+AI390</f>
        <v>0</v>
      </c>
      <c r="AL390" s="22"/>
      <c r="AM390" s="287"/>
      <c r="AN390" s="287"/>
      <c r="AO390" s="287"/>
      <c r="AP390" s="287"/>
      <c r="AQ390" s="287"/>
      <c r="AR390" s="287"/>
      <c r="AS390" s="285"/>
      <c r="AT390" s="95"/>
      <c r="AU390" s="96">
        <f>SUM(AM390:AS390)</f>
        <v>0</v>
      </c>
      <c r="AV390" s="97">
        <f>IF(C390=2015, AU390/3,AU390)+AT390</f>
        <v>0</v>
      </c>
    </row>
    <row r="391" spans="1:67" x14ac:dyDescent="0.25">
      <c r="A391" s="71" t="s">
        <v>336</v>
      </c>
      <c r="B391" s="60" t="s">
        <v>7</v>
      </c>
      <c r="C391" s="72">
        <v>2011</v>
      </c>
      <c r="D391" s="1">
        <f t="shared" si="85"/>
        <v>38.333333333333329</v>
      </c>
      <c r="I391" s="154"/>
      <c r="J391" s="154"/>
      <c r="K391" s="154"/>
      <c r="L391" s="154">
        <f>4+6</f>
        <v>10</v>
      </c>
      <c r="M391" s="154">
        <f>9+6</f>
        <v>15</v>
      </c>
      <c r="N391" s="267">
        <f t="shared" si="90"/>
        <v>28.333333333333332</v>
      </c>
      <c r="P391" s="96">
        <f t="shared" si="86"/>
        <v>38.333333333333329</v>
      </c>
      <c r="Q391" s="97">
        <f t="shared" si="91"/>
        <v>38.333333333333329</v>
      </c>
      <c r="R391" s="154"/>
      <c r="S391" s="228"/>
      <c r="T391" s="228">
        <f>0</f>
        <v>0</v>
      </c>
      <c r="U391" s="228"/>
      <c r="V391" s="228"/>
      <c r="W391" s="228">
        <v>22</v>
      </c>
      <c r="X391" s="228"/>
      <c r="Y391" s="228">
        <f>AK391</f>
        <v>6.333333333333333</v>
      </c>
      <c r="Z391" s="120"/>
      <c r="AA391" s="96">
        <f>S391+T391+U391+V391+W391+X391+Y391</f>
        <v>28.333333333333332</v>
      </c>
      <c r="AB391" s="97">
        <f>IF(C391=2012, AA391/3,AA391)+Z391</f>
        <v>28.333333333333332</v>
      </c>
      <c r="AC391" s="287"/>
      <c r="AD391" s="287"/>
      <c r="AE391" s="228">
        <f>0</f>
        <v>0</v>
      </c>
      <c r="AF391" s="228">
        <f>12</f>
        <v>12</v>
      </c>
      <c r="AG391" s="228">
        <f>0+3+1</f>
        <v>4</v>
      </c>
      <c r="AH391" s="228">
        <f>AV391</f>
        <v>3</v>
      </c>
      <c r="AI391" s="120"/>
      <c r="AJ391" s="96">
        <f>SUM(AD391:AH391)</f>
        <v>19</v>
      </c>
      <c r="AK391" s="97">
        <f>IF(C391=2011, AJ391/3,AJ391)+AI391</f>
        <v>6.333333333333333</v>
      </c>
      <c r="AL391" s="22"/>
      <c r="AM391" s="267"/>
      <c r="AN391" s="267"/>
      <c r="AO391" s="267"/>
      <c r="AP391" s="267">
        <f>0+3</f>
        <v>3</v>
      </c>
      <c r="AQ391" s="267"/>
      <c r="AR391" s="267"/>
      <c r="AS391" s="265"/>
      <c r="AT391" s="95"/>
      <c r="AU391" s="96">
        <f>SUM(AM391:AS391)</f>
        <v>3</v>
      </c>
      <c r="AV391" s="97">
        <f>IF(C391=2015, AU391/3,AU391)+AT391</f>
        <v>3</v>
      </c>
    </row>
    <row r="392" spans="1:67" x14ac:dyDescent="0.25">
      <c r="A392" s="53" t="s">
        <v>1240</v>
      </c>
      <c r="B392" s="11" t="s">
        <v>697</v>
      </c>
      <c r="C392" s="54"/>
      <c r="D392" s="1">
        <f t="shared" si="85"/>
        <v>6</v>
      </c>
      <c r="I392" s="261">
        <f>0</f>
        <v>0</v>
      </c>
      <c r="K392" s="241">
        <f>6</f>
        <v>6</v>
      </c>
      <c r="N392" s="267">
        <f t="shared" si="90"/>
        <v>0</v>
      </c>
      <c r="P392" s="96">
        <f t="shared" si="86"/>
        <v>6</v>
      </c>
      <c r="Q392" s="97">
        <f t="shared" si="91"/>
        <v>6</v>
      </c>
      <c r="S392" s="228"/>
      <c r="T392" s="228"/>
      <c r="U392" s="228"/>
      <c r="V392" s="228"/>
      <c r="W392" s="228"/>
      <c r="X392" s="228"/>
      <c r="Y392" s="228"/>
      <c r="Z392" s="120"/>
      <c r="AA392" s="96"/>
      <c r="AB392" s="97"/>
      <c r="AC392" s="22"/>
      <c r="AD392" s="228"/>
      <c r="AE392" s="228"/>
      <c r="AF392" s="228"/>
      <c r="AG392" s="228"/>
      <c r="AH392" s="228"/>
      <c r="AI392" s="120"/>
      <c r="AJ392" s="96"/>
      <c r="AK392" s="97"/>
      <c r="AL392" s="22"/>
      <c r="AM392" s="41"/>
      <c r="AN392" s="41"/>
      <c r="AO392" s="41"/>
      <c r="AP392" s="41"/>
      <c r="AQ392" s="41"/>
      <c r="AR392" s="41"/>
      <c r="AS392" s="41"/>
      <c r="AT392" s="95"/>
      <c r="AU392" s="96"/>
      <c r="AV392" s="97"/>
    </row>
    <row r="393" spans="1:67" x14ac:dyDescent="0.25">
      <c r="A393" s="71" t="s">
        <v>1084</v>
      </c>
      <c r="B393" s="71" t="s">
        <v>86</v>
      </c>
      <c r="C393" s="72">
        <v>2013</v>
      </c>
      <c r="D393" s="1">
        <f t="shared" si="85"/>
        <v>22</v>
      </c>
      <c r="L393" s="228">
        <f>66</f>
        <v>66</v>
      </c>
      <c r="N393" s="267">
        <f t="shared" si="90"/>
        <v>0</v>
      </c>
      <c r="P393" s="96">
        <f t="shared" si="86"/>
        <v>66</v>
      </c>
      <c r="Q393" s="97">
        <f t="shared" si="91"/>
        <v>22</v>
      </c>
      <c r="S393" s="228"/>
      <c r="T393" s="228"/>
      <c r="U393" s="228"/>
      <c r="V393" s="228"/>
      <c r="W393" s="228"/>
      <c r="X393" s="228"/>
      <c r="Y393" s="228"/>
      <c r="Z393" s="152"/>
      <c r="AA393" s="96"/>
      <c r="AB393" s="97"/>
      <c r="AE393" s="228"/>
      <c r="AF393" s="228"/>
      <c r="AG393" s="228"/>
      <c r="AH393" s="228"/>
      <c r="AI393" s="120"/>
      <c r="AJ393" s="96"/>
      <c r="AK393" s="97"/>
      <c r="AL393" s="22"/>
      <c r="AM393" s="287"/>
      <c r="AN393" s="287"/>
      <c r="AO393" s="287"/>
      <c r="AP393" s="287"/>
      <c r="AQ393" s="287"/>
      <c r="AR393" s="287"/>
      <c r="AS393" s="285"/>
      <c r="AT393" s="95"/>
      <c r="AU393" s="96"/>
      <c r="AV393" s="97"/>
    </row>
    <row r="394" spans="1:67" x14ac:dyDescent="0.25">
      <c r="A394" s="71" t="s">
        <v>846</v>
      </c>
      <c r="B394" s="71" t="s">
        <v>85</v>
      </c>
      <c r="C394" s="72">
        <v>2012</v>
      </c>
      <c r="D394" s="1">
        <f t="shared" si="85"/>
        <v>25</v>
      </c>
      <c r="I394" s="261">
        <f>0</f>
        <v>0</v>
      </c>
      <c r="J394" s="246">
        <f>12</f>
        <v>12</v>
      </c>
      <c r="N394" s="267">
        <f t="shared" si="90"/>
        <v>13</v>
      </c>
      <c r="P394" s="96">
        <f t="shared" si="86"/>
        <v>25</v>
      </c>
      <c r="Q394" s="97">
        <f t="shared" si="91"/>
        <v>25</v>
      </c>
      <c r="S394" s="228"/>
      <c r="T394" s="228"/>
      <c r="U394" s="228"/>
      <c r="V394" s="228"/>
      <c r="W394" s="228">
        <f>22+14+3</f>
        <v>39</v>
      </c>
      <c r="X394" s="228"/>
      <c r="Y394" s="228">
        <f>AK394</f>
        <v>0</v>
      </c>
      <c r="Z394" s="152"/>
      <c r="AA394" s="96">
        <f>S394+T394+U394+V394+W394+X394+Y394</f>
        <v>39</v>
      </c>
      <c r="AB394" s="97">
        <f>IF(C394=2012, AA394/3,AA394)+Z394</f>
        <v>13</v>
      </c>
      <c r="AE394" s="228"/>
      <c r="AF394" s="228"/>
      <c r="AG394" s="228"/>
      <c r="AH394" s="228"/>
      <c r="AI394" s="120"/>
      <c r="AJ394" s="96">
        <f>SUM(AD394:AH394)</f>
        <v>0</v>
      </c>
      <c r="AK394" s="97">
        <f>IF(C394=2011, AJ394/3,AJ394)+AI394</f>
        <v>0</v>
      </c>
      <c r="AL394" s="22"/>
      <c r="AM394" s="287"/>
      <c r="AN394" s="287"/>
      <c r="AO394" s="287"/>
      <c r="AP394" s="287"/>
      <c r="AQ394" s="287"/>
      <c r="AR394" s="287"/>
      <c r="AS394" s="285"/>
      <c r="AT394" s="95"/>
      <c r="AU394" s="96"/>
      <c r="AV394" s="97"/>
    </row>
    <row r="395" spans="1:67" x14ac:dyDescent="0.25">
      <c r="A395" s="11" t="s">
        <v>242</v>
      </c>
      <c r="B395" s="11" t="s">
        <v>241</v>
      </c>
      <c r="C395" s="3">
        <v>2010</v>
      </c>
      <c r="D395" s="1">
        <f t="shared" si="85"/>
        <v>30.666666666666668</v>
      </c>
      <c r="M395" s="228"/>
      <c r="N395" s="267">
        <f t="shared" si="90"/>
        <v>30.666666666666668</v>
      </c>
      <c r="P395" s="96">
        <f t="shared" si="86"/>
        <v>30.666666666666668</v>
      </c>
      <c r="Q395" s="97">
        <f t="shared" si="91"/>
        <v>30.666666666666668</v>
      </c>
      <c r="R395" s="228"/>
      <c r="S395" s="267"/>
      <c r="T395" s="267"/>
      <c r="U395" s="267"/>
      <c r="V395" s="267"/>
      <c r="W395" s="267"/>
      <c r="X395" s="267"/>
      <c r="Y395" s="267">
        <f>AK395</f>
        <v>30.666666666666668</v>
      </c>
      <c r="Z395" s="120"/>
      <c r="AA395" s="96">
        <f>S395+T395+U395+V395+W395+X395+Y395</f>
        <v>30.666666666666668</v>
      </c>
      <c r="AB395" s="97">
        <f>IF(C395=2012, AA395/3,AA395)+Z395</f>
        <v>30.666666666666668</v>
      </c>
      <c r="AC395" s="22"/>
      <c r="AD395" s="287"/>
      <c r="AE395" s="267"/>
      <c r="AF395" s="267"/>
      <c r="AG395" s="267"/>
      <c r="AH395" s="267">
        <f>AV395</f>
        <v>30.666666666666668</v>
      </c>
      <c r="AI395" s="120"/>
      <c r="AJ395" s="96">
        <f>SUM(AD395:AH395)</f>
        <v>30.666666666666668</v>
      </c>
      <c r="AK395" s="97">
        <f>IF(C395=2011, AJ395/3,AJ395)+AI395</f>
        <v>30.666666666666668</v>
      </c>
      <c r="AL395" s="22"/>
      <c r="AM395" s="267"/>
      <c r="AN395" s="267"/>
      <c r="AO395" s="267">
        <f>36</f>
        <v>36</v>
      </c>
      <c r="AP395" s="267"/>
      <c r="AQ395" s="267"/>
      <c r="AR395" s="267"/>
      <c r="AS395" s="265">
        <f>56</f>
        <v>56</v>
      </c>
      <c r="AT395" s="95"/>
      <c r="AU395" s="96">
        <f>SUM(AM395:AS395)</f>
        <v>92</v>
      </c>
      <c r="AV395" s="97">
        <f>IF(C395=2010, AU395/3,AU395)+AT395</f>
        <v>30.666666666666668</v>
      </c>
    </row>
    <row r="396" spans="1:67" ht="16.5" customHeight="1" x14ac:dyDescent="0.25">
      <c r="A396" s="53" t="s">
        <v>921</v>
      </c>
      <c r="B396" s="11" t="s">
        <v>994</v>
      </c>
      <c r="C396" s="54">
        <v>2011</v>
      </c>
      <c r="D396" s="1">
        <f t="shared" si="85"/>
        <v>30</v>
      </c>
      <c r="M396" s="215">
        <f>21+3</f>
        <v>24</v>
      </c>
      <c r="N396" s="267">
        <f t="shared" si="90"/>
        <v>30</v>
      </c>
      <c r="P396" s="96">
        <f t="shared" si="86"/>
        <v>30</v>
      </c>
      <c r="Q396" s="97">
        <f t="shared" si="91"/>
        <v>30</v>
      </c>
      <c r="S396" s="267">
        <f>20+4</f>
        <v>24</v>
      </c>
      <c r="T396" s="267"/>
      <c r="U396" s="267">
        <f>6</f>
        <v>6</v>
      </c>
      <c r="V396" s="267"/>
      <c r="W396" s="267"/>
      <c r="X396" s="267"/>
      <c r="Y396" s="267">
        <f>AK396</f>
        <v>0</v>
      </c>
      <c r="Z396" s="120"/>
      <c r="AA396" s="96">
        <f>S396+T396+U396+V396+W396+X396+Y396</f>
        <v>30</v>
      </c>
      <c r="AB396" s="97">
        <f>IF(C396=2012, AA396/3,AA396)+Z396</f>
        <v>30</v>
      </c>
      <c r="AC396" s="22"/>
      <c r="AD396" s="287"/>
      <c r="AE396" s="267"/>
      <c r="AF396" s="267"/>
      <c r="AG396" s="267"/>
      <c r="AH396" s="267"/>
      <c r="AI396" s="120"/>
      <c r="AJ396" s="96">
        <f>SUM(AD396:AH396)</f>
        <v>0</v>
      </c>
      <c r="AK396" s="97">
        <f>IF(C396=2011, AJ396/3,AJ396)+AI396</f>
        <v>0</v>
      </c>
      <c r="AL396" s="22"/>
      <c r="AM396" s="41"/>
      <c r="AN396" s="41"/>
      <c r="AO396" s="41"/>
      <c r="AP396" s="41"/>
      <c r="AQ396" s="41"/>
      <c r="AR396" s="41"/>
      <c r="AS396" s="41"/>
      <c r="AT396" s="95"/>
      <c r="AU396" s="96"/>
      <c r="AV396" s="97"/>
    </row>
    <row r="397" spans="1:67" x14ac:dyDescent="0.25">
      <c r="A397" s="71" t="s">
        <v>1086</v>
      </c>
      <c r="B397" s="71" t="s">
        <v>86</v>
      </c>
      <c r="C397" s="72">
        <v>2013</v>
      </c>
      <c r="D397" s="1">
        <f t="shared" si="85"/>
        <v>0</v>
      </c>
      <c r="L397" s="228">
        <f>0</f>
        <v>0</v>
      </c>
      <c r="N397" s="267">
        <f t="shared" si="90"/>
        <v>0</v>
      </c>
      <c r="P397" s="96">
        <f t="shared" si="86"/>
        <v>0</v>
      </c>
      <c r="Q397" s="97">
        <f t="shared" si="91"/>
        <v>0</v>
      </c>
      <c r="S397" s="267"/>
      <c r="T397" s="267"/>
      <c r="U397" s="267"/>
      <c r="V397" s="267"/>
      <c r="W397" s="267"/>
      <c r="X397" s="267"/>
      <c r="Y397" s="267"/>
      <c r="Z397" s="152"/>
      <c r="AA397" s="96"/>
      <c r="AB397" s="97"/>
      <c r="AE397" s="267"/>
      <c r="AF397" s="267"/>
      <c r="AG397" s="267"/>
      <c r="AH397" s="267"/>
      <c r="AI397" s="120"/>
      <c r="AJ397" s="96"/>
      <c r="AK397" s="97"/>
      <c r="AL397" s="22"/>
      <c r="AM397" s="267"/>
      <c r="AN397" s="267"/>
      <c r="AO397" s="267"/>
      <c r="AP397" s="267"/>
      <c r="AQ397" s="267"/>
      <c r="AR397" s="267"/>
      <c r="AS397" s="265"/>
      <c r="AT397" s="95"/>
      <c r="AU397" s="96"/>
      <c r="AV397" s="97"/>
    </row>
    <row r="398" spans="1:67" x14ac:dyDescent="0.25">
      <c r="A398" s="53" t="s">
        <v>1076</v>
      </c>
      <c r="B398" s="84" t="s">
        <v>7</v>
      </c>
      <c r="C398" s="54">
        <v>2010</v>
      </c>
      <c r="D398" s="1">
        <f t="shared" si="85"/>
        <v>29</v>
      </c>
      <c r="J398" s="246">
        <f>1</f>
        <v>1</v>
      </c>
      <c r="K398" s="241">
        <f>6+3</f>
        <v>9</v>
      </c>
      <c r="L398" s="228">
        <f>14+5</f>
        <v>19</v>
      </c>
      <c r="M398" s="215">
        <f>0</f>
        <v>0</v>
      </c>
      <c r="N398" s="267">
        <f t="shared" si="90"/>
        <v>0</v>
      </c>
      <c r="P398" s="96">
        <f t="shared" si="86"/>
        <v>29</v>
      </c>
      <c r="Q398" s="97">
        <f t="shared" si="91"/>
        <v>29</v>
      </c>
      <c r="S398" s="228"/>
      <c r="T398" s="228"/>
      <c r="U398" s="228"/>
      <c r="V398" s="228"/>
      <c r="W398" s="228"/>
      <c r="X398" s="228"/>
      <c r="Y398" s="228"/>
      <c r="Z398" s="120"/>
      <c r="AA398" s="96"/>
      <c r="AB398" s="97"/>
      <c r="AC398" s="22"/>
      <c r="AD398" s="267"/>
      <c r="AE398" s="228"/>
      <c r="AF398" s="228"/>
      <c r="AG398" s="228"/>
      <c r="AH398" s="228"/>
      <c r="AI398" s="120"/>
      <c r="AJ398" s="96"/>
      <c r="AK398" s="97"/>
      <c r="AL398" s="22"/>
      <c r="AM398" s="41"/>
      <c r="AN398" s="41"/>
      <c r="AO398" s="41"/>
      <c r="AP398" s="41"/>
      <c r="AQ398" s="41"/>
      <c r="AR398" s="41"/>
      <c r="AS398" s="41"/>
      <c r="AT398" s="95"/>
      <c r="AU398" s="96"/>
      <c r="AV398" s="97"/>
    </row>
    <row r="399" spans="1:67" s="17" customFormat="1" x14ac:dyDescent="0.25">
      <c r="A399" s="53" t="s">
        <v>1160</v>
      </c>
      <c r="B399" s="84" t="s">
        <v>86</v>
      </c>
      <c r="C399" s="54">
        <v>2010</v>
      </c>
      <c r="D399" s="1">
        <f t="shared" si="85"/>
        <v>0</v>
      </c>
      <c r="E399" s="283"/>
      <c r="F399" s="278"/>
      <c r="G399" s="120"/>
      <c r="H399" s="13"/>
      <c r="I399" s="261"/>
      <c r="J399" s="246"/>
      <c r="K399" s="241"/>
      <c r="L399" s="241">
        <f>0</f>
        <v>0</v>
      </c>
      <c r="M399" s="241"/>
      <c r="N399" s="267">
        <f t="shared" si="90"/>
        <v>0</v>
      </c>
      <c r="O399" s="120"/>
      <c r="P399" s="96">
        <f t="shared" si="86"/>
        <v>0</v>
      </c>
      <c r="Q399" s="97">
        <f t="shared" si="91"/>
        <v>0</v>
      </c>
      <c r="R399" s="241"/>
      <c r="S399" s="241"/>
      <c r="T399" s="241"/>
      <c r="U399" s="241"/>
      <c r="V399" s="241"/>
      <c r="W399" s="241"/>
      <c r="X399" s="241"/>
      <c r="Y399" s="241"/>
      <c r="Z399" s="120"/>
      <c r="AA399" s="96"/>
      <c r="AB399" s="97"/>
      <c r="AC399" s="22"/>
      <c r="AD399" s="287"/>
      <c r="AE399" s="241"/>
      <c r="AF399" s="241"/>
      <c r="AG399" s="241"/>
      <c r="AH399" s="241"/>
      <c r="AI399" s="120"/>
      <c r="AJ399" s="96"/>
      <c r="AK399" s="97"/>
      <c r="AL399" s="22"/>
      <c r="AM399" s="41"/>
      <c r="AN399" s="41"/>
      <c r="AO399" s="41"/>
      <c r="AP399" s="41"/>
      <c r="AQ399" s="41"/>
      <c r="AR399" s="41"/>
      <c r="AS399" s="41"/>
      <c r="AT399" s="95"/>
      <c r="AU399" s="96"/>
      <c r="AV399" s="97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spans="1:67" x14ac:dyDescent="0.25">
      <c r="A400" s="71" t="s">
        <v>881</v>
      </c>
      <c r="B400" s="71" t="s">
        <v>63</v>
      </c>
      <c r="C400" s="72">
        <v>2013</v>
      </c>
      <c r="D400" s="1">
        <f t="shared" ref="D400:D462" si="97">Q400+E400</f>
        <v>29.666666666666668</v>
      </c>
      <c r="I400" s="261">
        <f>0</f>
        <v>0</v>
      </c>
      <c r="K400" s="241">
        <f>49</f>
        <v>49</v>
      </c>
      <c r="N400" s="267">
        <f t="shared" si="90"/>
        <v>40</v>
      </c>
      <c r="P400" s="96">
        <f t="shared" ref="P400:P451" si="98">I400+J400+K400+L400+N400</f>
        <v>89</v>
      </c>
      <c r="Q400" s="97">
        <f t="shared" si="91"/>
        <v>29.666666666666668</v>
      </c>
      <c r="S400" s="201"/>
      <c r="T400" s="192"/>
      <c r="U400" s="183"/>
      <c r="V400" s="168">
        <f>40</f>
        <v>40</v>
      </c>
      <c r="W400" s="50"/>
      <c r="X400" s="50"/>
      <c r="Y400" s="215">
        <f>AK400</f>
        <v>0</v>
      </c>
      <c r="Z400" s="152"/>
      <c r="AA400" s="96">
        <f>AM400+S400+T400+U400+V400+W400+X400+Y400</f>
        <v>40</v>
      </c>
      <c r="AB400" s="97">
        <f>IF(C400=2017, AA400/3,AA400)+Z400</f>
        <v>40</v>
      </c>
      <c r="AE400" s="50"/>
      <c r="AF400" s="50"/>
      <c r="AG400" s="50"/>
      <c r="AH400" s="50"/>
      <c r="AI400" s="120"/>
      <c r="AJ400" s="96">
        <f>SUM(AE400:AH400)</f>
        <v>0</v>
      </c>
      <c r="AK400" s="97">
        <f>IF(C400=2016, AJ400/3,AJ400)+AI400</f>
        <v>0</v>
      </c>
      <c r="AL400" s="22"/>
      <c r="AM400" s="287"/>
      <c r="AN400" s="287"/>
      <c r="AO400" s="287"/>
      <c r="AP400" s="287"/>
      <c r="AQ400" s="287"/>
      <c r="AR400" s="287"/>
      <c r="AS400" s="285"/>
      <c r="AT400" s="95"/>
      <c r="AU400" s="96"/>
      <c r="AV400" s="97"/>
    </row>
    <row r="401" spans="1:67" s="17" customFormat="1" x14ac:dyDescent="0.25">
      <c r="A401" s="71" t="s">
        <v>761</v>
      </c>
      <c r="B401" s="71" t="s">
        <v>296</v>
      </c>
      <c r="C401" s="72">
        <v>2013</v>
      </c>
      <c r="D401" s="1">
        <f t="shared" si="97"/>
        <v>5.666666666666667</v>
      </c>
      <c r="E401" s="283"/>
      <c r="F401" s="278"/>
      <c r="G401" s="120"/>
      <c r="H401" s="13"/>
      <c r="I401" s="261"/>
      <c r="J401" s="246"/>
      <c r="K401" s="241"/>
      <c r="L401" s="241"/>
      <c r="M401" s="241"/>
      <c r="N401" s="267">
        <f t="shared" si="90"/>
        <v>17</v>
      </c>
      <c r="O401" s="120"/>
      <c r="P401" s="96">
        <f t="shared" si="98"/>
        <v>17</v>
      </c>
      <c r="Q401" s="97">
        <f t="shared" si="91"/>
        <v>5.666666666666667</v>
      </c>
      <c r="R401" s="241"/>
      <c r="S401" s="241"/>
      <c r="T401" s="241"/>
      <c r="U401" s="241">
        <f>6</f>
        <v>6</v>
      </c>
      <c r="V401" s="241"/>
      <c r="W401" s="241"/>
      <c r="X401" s="241">
        <f>11</f>
        <v>11</v>
      </c>
      <c r="Y401" s="241">
        <f>AK401</f>
        <v>0</v>
      </c>
      <c r="Z401" s="152"/>
      <c r="AA401" s="96">
        <f>AM401+S401+T401+U401+V401+W401+X401+Y401</f>
        <v>17</v>
      </c>
      <c r="AB401" s="97">
        <f>IF(C401=2017, AA401/3,AA401)+Z401</f>
        <v>17</v>
      </c>
      <c r="AC401" s="243"/>
      <c r="AD401" s="243"/>
      <c r="AE401" s="241"/>
      <c r="AF401" s="241"/>
      <c r="AG401" s="241"/>
      <c r="AH401" s="241"/>
      <c r="AI401" s="120"/>
      <c r="AJ401" s="96">
        <f>SUM(AE401:AH401)</f>
        <v>0</v>
      </c>
      <c r="AK401" s="97">
        <f>IF(C401=2016, AJ401/3,AJ401)+AI401</f>
        <v>0</v>
      </c>
      <c r="AL401" s="22"/>
      <c r="AM401" s="241"/>
      <c r="AN401" s="241"/>
      <c r="AO401" s="241"/>
      <c r="AP401" s="241"/>
      <c r="AQ401" s="241"/>
      <c r="AR401" s="241"/>
      <c r="AS401" s="285"/>
      <c r="AT401" s="95"/>
      <c r="AU401" s="96"/>
      <c r="AV401" s="97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spans="1:67" x14ac:dyDescent="0.25">
      <c r="A402" s="60" t="s">
        <v>1064</v>
      </c>
      <c r="B402" s="65" t="s">
        <v>1336</v>
      </c>
      <c r="C402" s="62">
        <v>2011</v>
      </c>
      <c r="D402" s="1">
        <f t="shared" si="97"/>
        <v>57</v>
      </c>
      <c r="I402" s="261">
        <f>57</f>
        <v>57</v>
      </c>
      <c r="M402" s="215">
        <f>24</f>
        <v>24</v>
      </c>
      <c r="N402" s="267">
        <f t="shared" si="90"/>
        <v>0</v>
      </c>
      <c r="P402" s="96">
        <f t="shared" si="98"/>
        <v>57</v>
      </c>
      <c r="Q402" s="97">
        <f t="shared" si="91"/>
        <v>57</v>
      </c>
      <c r="S402" s="201"/>
      <c r="T402" s="192"/>
      <c r="U402" s="183"/>
      <c r="V402" s="168"/>
      <c r="W402" s="50"/>
      <c r="X402" s="50"/>
      <c r="Y402" s="215"/>
      <c r="Z402" s="120"/>
      <c r="AA402" s="96"/>
      <c r="AB402" s="97"/>
      <c r="AC402" s="22"/>
      <c r="AD402" s="278"/>
      <c r="AE402" s="50"/>
      <c r="AF402" s="50"/>
      <c r="AG402" s="50"/>
      <c r="AH402" s="50"/>
      <c r="AI402" s="120"/>
      <c r="AJ402" s="96"/>
      <c r="AK402" s="97"/>
      <c r="AL402" s="22"/>
      <c r="AT402" s="95"/>
      <c r="AU402" s="96"/>
      <c r="AV402" s="97"/>
    </row>
    <row r="403" spans="1:67" x14ac:dyDescent="0.25">
      <c r="A403" s="53" t="s">
        <v>645</v>
      </c>
      <c r="B403" s="84" t="s">
        <v>7</v>
      </c>
      <c r="C403" s="54"/>
      <c r="D403" s="1">
        <f t="shared" si="97"/>
        <v>10</v>
      </c>
      <c r="N403" s="267">
        <f t="shared" si="90"/>
        <v>10</v>
      </c>
      <c r="P403" s="96">
        <f t="shared" si="98"/>
        <v>10</v>
      </c>
      <c r="Q403" s="97">
        <f t="shared" si="91"/>
        <v>10</v>
      </c>
      <c r="S403" s="201"/>
      <c r="T403" s="192"/>
      <c r="U403" s="183"/>
      <c r="V403" s="168"/>
      <c r="W403" s="50"/>
      <c r="X403" s="50"/>
      <c r="Y403" s="215">
        <f t="shared" ref="Y403:Y407" si="99">AK403</f>
        <v>10</v>
      </c>
      <c r="Z403" s="120"/>
      <c r="AA403" s="96">
        <f t="shared" ref="AA403:AA407" si="100">S403+T403+U403+V403+W403+X403+Y403</f>
        <v>10</v>
      </c>
      <c r="AB403" s="97">
        <f t="shared" ref="AB403:AB407" si="101">IF(C403=2012, AA403/3,AA403)+Z403</f>
        <v>10</v>
      </c>
      <c r="AC403" s="22"/>
      <c r="AD403" s="278"/>
      <c r="AE403" s="50"/>
      <c r="AF403" s="50">
        <f>10</f>
        <v>10</v>
      </c>
      <c r="AG403" s="50"/>
      <c r="AH403" s="50"/>
      <c r="AI403" s="120"/>
      <c r="AJ403" s="96">
        <f t="shared" ref="AJ403:AJ407" si="102">SUM(AD403:AH403)</f>
        <v>10</v>
      </c>
      <c r="AK403" s="97">
        <f t="shared" ref="AK403:AK407" si="103">IF(C403=2011, AJ403/3,AJ403)+AI403</f>
        <v>10</v>
      </c>
      <c r="AL403" s="22"/>
      <c r="AM403" s="41"/>
      <c r="AN403" s="41"/>
      <c r="AO403" s="41"/>
      <c r="AP403" s="41"/>
      <c r="AQ403" s="41"/>
      <c r="AR403" s="41"/>
      <c r="AS403" s="41"/>
      <c r="AT403" s="95"/>
      <c r="AU403" s="96"/>
      <c r="AV403" s="97"/>
    </row>
    <row r="404" spans="1:67" ht="16.5" customHeight="1" x14ac:dyDescent="0.25">
      <c r="A404" s="53" t="s">
        <v>652</v>
      </c>
      <c r="B404" s="84" t="s">
        <v>64</v>
      </c>
      <c r="C404" s="54"/>
      <c r="D404" s="1">
        <f t="shared" si="97"/>
        <v>12</v>
      </c>
      <c r="I404" s="108"/>
      <c r="J404" s="108"/>
      <c r="K404" s="108"/>
      <c r="L404" s="108"/>
      <c r="M404" s="108"/>
      <c r="N404" s="267">
        <f t="shared" si="90"/>
        <v>12</v>
      </c>
      <c r="P404" s="96">
        <f t="shared" si="98"/>
        <v>12</v>
      </c>
      <c r="Q404" s="97">
        <f t="shared" si="91"/>
        <v>12</v>
      </c>
      <c r="R404" s="108"/>
      <c r="S404" s="287"/>
      <c r="T404" s="287"/>
      <c r="U404" s="287"/>
      <c r="V404" s="287"/>
      <c r="W404" s="287"/>
      <c r="X404" s="287"/>
      <c r="Y404" s="287">
        <f t="shared" si="99"/>
        <v>12</v>
      </c>
      <c r="Z404" s="120"/>
      <c r="AA404" s="96">
        <f t="shared" si="100"/>
        <v>12</v>
      </c>
      <c r="AB404" s="97">
        <f t="shared" si="101"/>
        <v>12</v>
      </c>
      <c r="AC404" s="22"/>
      <c r="AD404" s="287"/>
      <c r="AE404" s="287"/>
      <c r="AF404" s="287">
        <f>12</f>
        <v>12</v>
      </c>
      <c r="AG404" s="287"/>
      <c r="AH404" s="287"/>
      <c r="AI404" s="120"/>
      <c r="AJ404" s="96">
        <f t="shared" si="102"/>
        <v>12</v>
      </c>
      <c r="AK404" s="97">
        <f t="shared" si="103"/>
        <v>12</v>
      </c>
      <c r="AL404" s="22"/>
      <c r="AM404" s="41"/>
      <c r="AN404" s="41"/>
      <c r="AO404" s="41"/>
      <c r="AP404" s="41"/>
      <c r="AQ404" s="41"/>
      <c r="AR404" s="41"/>
      <c r="AS404" s="41"/>
      <c r="AT404" s="95"/>
      <c r="AU404" s="96"/>
      <c r="AV404" s="97"/>
    </row>
    <row r="405" spans="1:67" x14ac:dyDescent="0.25">
      <c r="A405" s="53" t="s">
        <v>1053</v>
      </c>
      <c r="B405" s="84" t="s">
        <v>86</v>
      </c>
      <c r="C405" s="54">
        <v>2010</v>
      </c>
      <c r="D405" s="1">
        <f t="shared" si="97"/>
        <v>0</v>
      </c>
      <c r="N405" s="267">
        <f t="shared" si="90"/>
        <v>0</v>
      </c>
      <c r="P405" s="96">
        <f t="shared" si="98"/>
        <v>0</v>
      </c>
      <c r="Q405" s="97">
        <f t="shared" si="91"/>
        <v>0</v>
      </c>
      <c r="S405" s="287">
        <f>0</f>
        <v>0</v>
      </c>
      <c r="T405" s="287"/>
      <c r="U405" s="287"/>
      <c r="V405" s="287"/>
      <c r="W405" s="287"/>
      <c r="X405" s="287"/>
      <c r="Y405" s="287">
        <f t="shared" si="99"/>
        <v>0</v>
      </c>
      <c r="Z405" s="120"/>
      <c r="AA405" s="96">
        <f t="shared" si="100"/>
        <v>0</v>
      </c>
      <c r="AB405" s="97">
        <f t="shared" si="101"/>
        <v>0</v>
      </c>
      <c r="AC405" s="22"/>
      <c r="AD405" s="287"/>
      <c r="AE405" s="287"/>
      <c r="AF405" s="287"/>
      <c r="AG405" s="287"/>
      <c r="AH405" s="287"/>
      <c r="AI405" s="120"/>
      <c r="AJ405" s="96">
        <f t="shared" si="102"/>
        <v>0</v>
      </c>
      <c r="AK405" s="97">
        <f t="shared" si="103"/>
        <v>0</v>
      </c>
      <c r="AL405" s="22"/>
      <c r="AM405" s="41"/>
      <c r="AN405" s="41"/>
      <c r="AO405" s="41"/>
      <c r="AP405" s="41"/>
      <c r="AQ405" s="41"/>
      <c r="AR405" s="41"/>
      <c r="AS405" s="41"/>
      <c r="AT405" s="95"/>
      <c r="AU405" s="96"/>
      <c r="AV405" s="97"/>
    </row>
    <row r="406" spans="1:67" x14ac:dyDescent="0.25">
      <c r="A406" s="53" t="s">
        <v>698</v>
      </c>
      <c r="B406" s="84" t="s">
        <v>63</v>
      </c>
      <c r="C406" s="54">
        <v>2010</v>
      </c>
      <c r="D406" s="1">
        <f t="shared" si="97"/>
        <v>6</v>
      </c>
      <c r="J406" s="261"/>
      <c r="K406" s="261"/>
      <c r="L406" s="261"/>
      <c r="M406" s="261"/>
      <c r="N406" s="267">
        <f t="shared" si="90"/>
        <v>6</v>
      </c>
      <c r="P406" s="96">
        <f t="shared" si="98"/>
        <v>6</v>
      </c>
      <c r="Q406" s="97">
        <f t="shared" si="91"/>
        <v>6</v>
      </c>
      <c r="R406" s="261"/>
      <c r="S406" s="261"/>
      <c r="T406" s="261"/>
      <c r="U406" s="261"/>
      <c r="V406" s="261"/>
      <c r="W406" s="261"/>
      <c r="X406" s="261"/>
      <c r="Y406" s="215">
        <f t="shared" si="99"/>
        <v>6</v>
      </c>
      <c r="Z406" s="120"/>
      <c r="AA406" s="96">
        <f t="shared" si="100"/>
        <v>6</v>
      </c>
      <c r="AB406" s="97">
        <f t="shared" si="101"/>
        <v>6</v>
      </c>
      <c r="AC406" s="22"/>
      <c r="AD406" s="287"/>
      <c r="AE406" s="261">
        <f>0+6</f>
        <v>6</v>
      </c>
      <c r="AF406" s="261"/>
      <c r="AG406" s="261"/>
      <c r="AH406" s="261"/>
      <c r="AI406" s="120"/>
      <c r="AJ406" s="96">
        <f t="shared" si="102"/>
        <v>6</v>
      </c>
      <c r="AK406" s="97">
        <f t="shared" si="103"/>
        <v>6</v>
      </c>
      <c r="AL406" s="22"/>
      <c r="AM406" s="41"/>
      <c r="AN406" s="41"/>
      <c r="AO406" s="41"/>
      <c r="AP406" s="41"/>
      <c r="AQ406" s="41"/>
      <c r="AR406" s="41"/>
      <c r="AS406" s="41"/>
      <c r="AT406" s="95"/>
      <c r="AU406" s="96"/>
      <c r="AV406" s="97"/>
    </row>
    <row r="407" spans="1:67" x14ac:dyDescent="0.25">
      <c r="A407" s="11" t="s">
        <v>557</v>
      </c>
      <c r="B407" s="60" t="s">
        <v>547</v>
      </c>
      <c r="C407" s="62">
        <v>2012</v>
      </c>
      <c r="D407" s="1">
        <f t="shared" si="97"/>
        <v>11</v>
      </c>
      <c r="I407" s="278"/>
      <c r="J407" s="278"/>
      <c r="K407" s="278"/>
      <c r="L407" s="278"/>
      <c r="M407" s="278"/>
      <c r="N407" s="267">
        <f t="shared" si="90"/>
        <v>11</v>
      </c>
      <c r="P407" s="96">
        <f t="shared" si="98"/>
        <v>11</v>
      </c>
      <c r="Q407" s="97">
        <f t="shared" si="91"/>
        <v>11</v>
      </c>
      <c r="R407" s="278"/>
      <c r="S407" s="278"/>
      <c r="T407" s="278"/>
      <c r="U407" s="278"/>
      <c r="V407" s="278"/>
      <c r="W407" s="278">
        <f>4+6</f>
        <v>10</v>
      </c>
      <c r="X407" s="278"/>
      <c r="Y407" s="228">
        <f t="shared" si="99"/>
        <v>23</v>
      </c>
      <c r="Z407" s="152"/>
      <c r="AA407" s="96">
        <f t="shared" si="100"/>
        <v>33</v>
      </c>
      <c r="AB407" s="97">
        <f t="shared" si="101"/>
        <v>11</v>
      </c>
      <c r="AC407" s="290"/>
      <c r="AD407" s="290"/>
      <c r="AE407" s="228">
        <f>20</f>
        <v>20</v>
      </c>
      <c r="AF407" s="228"/>
      <c r="AG407" s="228">
        <f>0+3</f>
        <v>3</v>
      </c>
      <c r="AH407" s="228"/>
      <c r="AI407" s="120"/>
      <c r="AJ407" s="96">
        <f t="shared" si="102"/>
        <v>23</v>
      </c>
      <c r="AK407" s="97">
        <f t="shared" si="103"/>
        <v>23</v>
      </c>
      <c r="AL407" s="22"/>
      <c r="AM407" s="287"/>
      <c r="AN407" s="287"/>
      <c r="AO407" s="287"/>
      <c r="AP407" s="287"/>
      <c r="AQ407" s="287"/>
      <c r="AR407" s="287"/>
      <c r="AS407" s="285"/>
      <c r="AT407" s="95"/>
      <c r="AU407" s="96">
        <f>SUM(AM407:AS407)</f>
        <v>0</v>
      </c>
      <c r="AV407" s="97">
        <f>IF(C407=2015, AU407/3,AU407)+AT407</f>
        <v>0</v>
      </c>
    </row>
    <row r="408" spans="1:67" x14ac:dyDescent="0.25">
      <c r="A408" s="11" t="s">
        <v>1176</v>
      </c>
      <c r="B408" s="87" t="s">
        <v>87</v>
      </c>
      <c r="C408" s="3">
        <v>2012</v>
      </c>
      <c r="D408" s="1">
        <f t="shared" si="97"/>
        <v>12</v>
      </c>
      <c r="L408" s="241">
        <f>12</f>
        <v>12</v>
      </c>
      <c r="M408" s="241"/>
      <c r="N408" s="267">
        <f t="shared" si="90"/>
        <v>0</v>
      </c>
      <c r="P408" s="96">
        <f t="shared" si="98"/>
        <v>12</v>
      </c>
      <c r="Q408" s="97">
        <f t="shared" si="91"/>
        <v>12</v>
      </c>
      <c r="R408" s="241"/>
    </row>
    <row r="409" spans="1:67" x14ac:dyDescent="0.25">
      <c r="A409" s="11" t="s">
        <v>328</v>
      </c>
      <c r="B409" s="60" t="s">
        <v>7</v>
      </c>
      <c r="C409" s="62">
        <v>2011</v>
      </c>
      <c r="D409" s="1">
        <f t="shared" si="97"/>
        <v>16</v>
      </c>
      <c r="I409" s="278"/>
      <c r="J409" s="278"/>
      <c r="K409" s="278"/>
      <c r="L409" s="278"/>
      <c r="M409" s="278"/>
      <c r="N409" s="267">
        <f t="shared" si="90"/>
        <v>16</v>
      </c>
      <c r="P409" s="96">
        <f t="shared" si="98"/>
        <v>16</v>
      </c>
      <c r="Q409" s="97">
        <f t="shared" si="91"/>
        <v>16</v>
      </c>
      <c r="R409" s="278"/>
      <c r="S409" s="287"/>
      <c r="T409" s="287"/>
      <c r="U409" s="287"/>
      <c r="V409" s="287"/>
      <c r="W409" s="287"/>
      <c r="X409" s="287"/>
      <c r="Y409" s="287">
        <f>AK409</f>
        <v>16</v>
      </c>
      <c r="Z409" s="120"/>
      <c r="AA409" s="96">
        <f>S409+T409+U409+V409+W409+X409+Y409</f>
        <v>16</v>
      </c>
      <c r="AB409" s="97">
        <f>IF(C409=2012, AA409/3,AA409)+Z409</f>
        <v>16</v>
      </c>
      <c r="AC409" s="287"/>
      <c r="AD409" s="287"/>
      <c r="AE409" s="287"/>
      <c r="AF409" s="287"/>
      <c r="AG409" s="287"/>
      <c r="AH409" s="287">
        <f>AV409</f>
        <v>48</v>
      </c>
      <c r="AI409" s="120"/>
      <c r="AJ409" s="96">
        <f>SUM(AD409:AH409)</f>
        <v>48</v>
      </c>
      <c r="AK409" s="97">
        <f>IF(C409=2011, AJ409/3,AJ409)+AI409</f>
        <v>16</v>
      </c>
      <c r="AL409" s="22"/>
      <c r="AM409" s="287"/>
      <c r="AN409" s="287"/>
      <c r="AO409" s="287"/>
      <c r="AP409" s="287">
        <f>48</f>
        <v>48</v>
      </c>
      <c r="AQ409" s="287"/>
      <c r="AR409" s="287"/>
      <c r="AS409" s="285"/>
      <c r="AT409" s="95"/>
      <c r="AU409" s="96">
        <f>SUM(AM409:AS409)</f>
        <v>48</v>
      </c>
      <c r="AV409" s="97">
        <f>IF(C409=2015, AU409/3,AU409)+AT409</f>
        <v>48</v>
      </c>
    </row>
    <row r="410" spans="1:67" x14ac:dyDescent="0.25">
      <c r="A410" s="53" t="s">
        <v>675</v>
      </c>
      <c r="B410" s="84" t="s">
        <v>598</v>
      </c>
      <c r="C410" s="54" t="s">
        <v>670</v>
      </c>
      <c r="D410" s="1">
        <f t="shared" si="97"/>
        <v>21</v>
      </c>
      <c r="J410" s="261"/>
      <c r="K410" s="261"/>
      <c r="L410" s="261"/>
      <c r="M410" s="261"/>
      <c r="N410" s="267">
        <f t="shared" si="90"/>
        <v>21</v>
      </c>
      <c r="P410" s="96">
        <f t="shared" si="98"/>
        <v>21</v>
      </c>
      <c r="Q410" s="97">
        <f t="shared" si="91"/>
        <v>21</v>
      </c>
      <c r="R410" s="261"/>
      <c r="S410" s="287"/>
      <c r="T410" s="287"/>
      <c r="U410" s="287"/>
      <c r="V410" s="287"/>
      <c r="W410" s="287"/>
      <c r="X410" s="287"/>
      <c r="Y410" s="246">
        <f>AK410</f>
        <v>21</v>
      </c>
      <c r="Z410" s="120"/>
      <c r="AA410" s="96">
        <f>S410+T410+U410+V410+W410+X410+Y410</f>
        <v>21</v>
      </c>
      <c r="AB410" s="97">
        <f>IF(C410=2012, AA410/3,AA410)+Z410</f>
        <v>21</v>
      </c>
      <c r="AC410" s="22"/>
      <c r="AD410" s="287"/>
      <c r="AE410" s="246"/>
      <c r="AF410" s="246">
        <f>21</f>
        <v>21</v>
      </c>
      <c r="AG410" s="246"/>
      <c r="AH410" s="246"/>
      <c r="AI410" s="120"/>
      <c r="AJ410" s="96">
        <f>SUM(AD410:AH410)</f>
        <v>21</v>
      </c>
      <c r="AK410" s="97">
        <f>IF(C410=2011, AJ410/3,AJ410)+AI410</f>
        <v>21</v>
      </c>
      <c r="AL410" s="22"/>
      <c r="AM410" s="41"/>
      <c r="AN410" s="41"/>
      <c r="AO410" s="41"/>
      <c r="AP410" s="41"/>
      <c r="AQ410" s="41"/>
      <c r="AR410" s="41"/>
      <c r="AS410" s="41"/>
      <c r="AT410" s="95"/>
      <c r="AU410" s="96"/>
      <c r="AV410" s="97"/>
    </row>
    <row r="411" spans="1:67" x14ac:dyDescent="0.25">
      <c r="A411" s="11" t="s">
        <v>323</v>
      </c>
      <c r="B411" s="60" t="s">
        <v>86</v>
      </c>
      <c r="C411" s="62">
        <v>2010</v>
      </c>
      <c r="D411" s="1">
        <f t="shared" si="97"/>
        <v>0</v>
      </c>
      <c r="J411" s="261"/>
      <c r="K411" s="261"/>
      <c r="L411" s="261"/>
      <c r="M411" s="261"/>
      <c r="N411" s="267">
        <f t="shared" si="90"/>
        <v>0</v>
      </c>
      <c r="P411" s="96">
        <f t="shared" si="98"/>
        <v>0</v>
      </c>
      <c r="Q411" s="97">
        <f t="shared" si="91"/>
        <v>0</v>
      </c>
      <c r="R411" s="261"/>
      <c r="S411" s="261"/>
      <c r="T411" s="261"/>
      <c r="U411" s="261"/>
      <c r="V411" s="261"/>
      <c r="W411" s="261"/>
      <c r="X411" s="261"/>
      <c r="Y411" s="215">
        <f>AK411</f>
        <v>0</v>
      </c>
      <c r="Z411" s="120"/>
      <c r="AA411" s="96">
        <f>S411+T411+U411+V411+W411+X411+Y411</f>
        <v>0</v>
      </c>
      <c r="AB411" s="97">
        <f>IF(C411=2012, AA411/3,AA411)+Z411</f>
        <v>0</v>
      </c>
      <c r="AC411" s="22"/>
      <c r="AD411" s="287"/>
      <c r="AE411" s="261"/>
      <c r="AF411" s="261"/>
      <c r="AG411" s="261"/>
      <c r="AH411" s="261">
        <f>AV411</f>
        <v>0</v>
      </c>
      <c r="AI411" s="120"/>
      <c r="AJ411" s="96">
        <f>SUM(AD411:AH411)</f>
        <v>0</v>
      </c>
      <c r="AK411" s="97">
        <f>IF(C411=2011, AJ411/3,AJ411)+AI411</f>
        <v>0</v>
      </c>
      <c r="AL411" s="22"/>
      <c r="AM411" s="287"/>
      <c r="AN411" s="287"/>
      <c r="AO411" s="287"/>
      <c r="AP411" s="287">
        <f>0</f>
        <v>0</v>
      </c>
      <c r="AQ411" s="287"/>
      <c r="AR411" s="287"/>
      <c r="AS411" s="285"/>
      <c r="AT411" s="95"/>
      <c r="AU411" s="96">
        <f>SUM(AM411:AS411)</f>
        <v>0</v>
      </c>
      <c r="AV411" s="97">
        <f>IF(C411=2010, AU411/3,AU411)+AT411</f>
        <v>0</v>
      </c>
    </row>
    <row r="412" spans="1:67" x14ac:dyDescent="0.25">
      <c r="A412" s="53" t="s">
        <v>1047</v>
      </c>
      <c r="B412" s="84" t="s">
        <v>63</v>
      </c>
      <c r="C412" s="54">
        <v>2011</v>
      </c>
      <c r="D412" s="1">
        <f t="shared" si="97"/>
        <v>0</v>
      </c>
      <c r="I412" s="278"/>
      <c r="J412" s="278"/>
      <c r="K412" s="278"/>
      <c r="L412" s="278"/>
      <c r="M412" s="278"/>
      <c r="N412" s="267">
        <f t="shared" si="90"/>
        <v>0</v>
      </c>
      <c r="P412" s="96">
        <f t="shared" si="98"/>
        <v>0</v>
      </c>
      <c r="Q412" s="97">
        <f t="shared" si="91"/>
        <v>0</v>
      </c>
      <c r="R412" s="278"/>
      <c r="S412" s="287">
        <f>0</f>
        <v>0</v>
      </c>
      <c r="T412" s="287"/>
      <c r="U412" s="287"/>
      <c r="V412" s="287"/>
      <c r="W412" s="287"/>
      <c r="X412" s="287"/>
      <c r="Y412" s="241">
        <f>AK412</f>
        <v>0</v>
      </c>
      <c r="Z412" s="120"/>
      <c r="AA412" s="96">
        <f>S412+T412+U412+V412+W412+X412+Y412</f>
        <v>0</v>
      </c>
      <c r="AB412" s="97">
        <f>IF(C412=2012, AA412/3,AA412)+Z412</f>
        <v>0</v>
      </c>
      <c r="AC412" s="22"/>
      <c r="AD412" s="287"/>
      <c r="AE412" s="261"/>
      <c r="AF412" s="261"/>
      <c r="AG412" s="261"/>
      <c r="AH412" s="261"/>
      <c r="AI412" s="120"/>
      <c r="AJ412" s="96">
        <f>SUM(AD412:AH412)</f>
        <v>0</v>
      </c>
      <c r="AK412" s="97">
        <f>IF(C412=2011, AJ412/3,AJ412)+AI412</f>
        <v>0</v>
      </c>
      <c r="AL412" s="22"/>
      <c r="AM412" s="41"/>
      <c r="AN412" s="41"/>
      <c r="AO412" s="41"/>
      <c r="AP412" s="41"/>
      <c r="AQ412" s="41"/>
      <c r="AR412" s="41"/>
      <c r="AS412" s="41"/>
      <c r="AT412" s="95"/>
      <c r="AU412" s="96"/>
      <c r="AV412" s="97"/>
    </row>
    <row r="413" spans="1:67" x14ac:dyDescent="0.25">
      <c r="A413" s="53" t="s">
        <v>1067</v>
      </c>
      <c r="B413" s="84" t="s">
        <v>994</v>
      </c>
      <c r="C413" s="54">
        <v>2011</v>
      </c>
      <c r="D413" s="1">
        <f t="shared" si="97"/>
        <v>0</v>
      </c>
      <c r="M413" s="228">
        <f>0</f>
        <v>0</v>
      </c>
      <c r="N413" s="267">
        <f t="shared" si="90"/>
        <v>0</v>
      </c>
      <c r="P413" s="96">
        <f t="shared" si="98"/>
        <v>0</v>
      </c>
      <c r="Q413" s="97">
        <f t="shared" si="91"/>
        <v>0</v>
      </c>
      <c r="R413" s="228"/>
      <c r="S413" s="287"/>
      <c r="T413" s="287"/>
      <c r="U413" s="287"/>
      <c r="V413" s="287"/>
      <c r="W413" s="287"/>
      <c r="X413" s="287"/>
      <c r="Y413" s="287"/>
      <c r="Z413" s="120"/>
      <c r="AA413" s="96"/>
      <c r="AB413" s="97"/>
      <c r="AC413" s="22"/>
      <c r="AD413" s="287"/>
      <c r="AE413" s="287"/>
      <c r="AF413" s="287"/>
      <c r="AG413" s="287"/>
      <c r="AH413" s="287"/>
      <c r="AI413" s="120"/>
      <c r="AJ413" s="96"/>
      <c r="AK413" s="97"/>
      <c r="AL413" s="22"/>
      <c r="AM413" s="41"/>
      <c r="AN413" s="41"/>
      <c r="AO413" s="41"/>
      <c r="AP413" s="41"/>
      <c r="AQ413" s="41"/>
      <c r="AR413" s="41"/>
      <c r="AS413" s="41"/>
      <c r="AT413" s="95"/>
      <c r="AU413" s="96"/>
      <c r="AV413" s="97"/>
    </row>
    <row r="414" spans="1:67" s="17" customFormat="1" x14ac:dyDescent="0.25">
      <c r="A414" s="11" t="s">
        <v>139</v>
      </c>
      <c r="B414" s="60" t="s">
        <v>111</v>
      </c>
      <c r="C414" s="62">
        <v>2010</v>
      </c>
      <c r="D414" s="1">
        <f t="shared" si="97"/>
        <v>114.66666666666666</v>
      </c>
      <c r="E414" s="283"/>
      <c r="F414" s="278"/>
      <c r="G414" s="120"/>
      <c r="H414" s="13"/>
      <c r="I414" s="261"/>
      <c r="J414" s="246"/>
      <c r="K414" s="246"/>
      <c r="L414" s="246"/>
      <c r="M414" s="246"/>
      <c r="N414" s="267">
        <f t="shared" si="90"/>
        <v>114.66666666666666</v>
      </c>
      <c r="O414" s="120"/>
      <c r="P414" s="96">
        <f t="shared" si="98"/>
        <v>114.66666666666666</v>
      </c>
      <c r="Q414" s="97">
        <f t="shared" si="91"/>
        <v>114.66666666666666</v>
      </c>
      <c r="R414" s="246"/>
      <c r="S414" s="246"/>
      <c r="T414" s="246"/>
      <c r="U414" s="246"/>
      <c r="V414" s="246"/>
      <c r="W414" s="246"/>
      <c r="X414" s="246"/>
      <c r="Y414" s="246">
        <f t="shared" ref="Y414:Y420" si="104">AK414</f>
        <v>114.66666666666666</v>
      </c>
      <c r="Z414" s="120"/>
      <c r="AA414" s="96">
        <f>S414+T414+U414+V414+W414+X414+Y414</f>
        <v>114.66666666666666</v>
      </c>
      <c r="AB414" s="97">
        <f>IF(C414=2012, AA414/3,AA414)+Z414</f>
        <v>114.66666666666666</v>
      </c>
      <c r="AC414" s="22"/>
      <c r="AD414" s="246"/>
      <c r="AE414" s="246">
        <f>10</f>
        <v>10</v>
      </c>
      <c r="AF414" s="246">
        <f>22+8</f>
        <v>30</v>
      </c>
      <c r="AG414" s="246">
        <f>16+6</f>
        <v>22</v>
      </c>
      <c r="AH414" s="246">
        <f>AV414</f>
        <v>52.666666666666664</v>
      </c>
      <c r="AI414" s="120"/>
      <c r="AJ414" s="96">
        <f>SUM(AD414:AH414)</f>
        <v>114.66666666666666</v>
      </c>
      <c r="AK414" s="97">
        <f>IF(C414=2011, AJ414/3,AJ414)+AI414</f>
        <v>114.66666666666666</v>
      </c>
      <c r="AL414" s="22"/>
      <c r="AM414" s="41"/>
      <c r="AN414" s="41">
        <f>8+4</f>
        <v>12</v>
      </c>
      <c r="AO414" s="41"/>
      <c r="AP414" s="41">
        <f>26</f>
        <v>26</v>
      </c>
      <c r="AQ414" s="41">
        <f>44</f>
        <v>44</v>
      </c>
      <c r="AR414" s="41">
        <f>49</f>
        <v>49</v>
      </c>
      <c r="AS414" s="13"/>
      <c r="AT414" s="95">
        <f>6+3</f>
        <v>9</v>
      </c>
      <c r="AU414" s="96">
        <f>SUM(AM414:AS414)</f>
        <v>131</v>
      </c>
      <c r="AV414" s="97">
        <f>IF(C414=2010, AU414/3,AU414)+AT414</f>
        <v>52.666666666666664</v>
      </c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spans="1:67" s="17" customFormat="1" x14ac:dyDescent="0.25">
      <c r="A415" s="11" t="s">
        <v>552</v>
      </c>
      <c r="B415" s="60" t="s">
        <v>64</v>
      </c>
      <c r="C415" s="62">
        <v>2011</v>
      </c>
      <c r="D415" s="1">
        <f t="shared" si="97"/>
        <v>12</v>
      </c>
      <c r="E415" s="283"/>
      <c r="F415" s="278"/>
      <c r="G415" s="120"/>
      <c r="H415" s="13"/>
      <c r="I415" s="261"/>
      <c r="J415" s="246"/>
      <c r="K415" s="241"/>
      <c r="L415" s="228"/>
      <c r="M415" s="228"/>
      <c r="N415" s="267">
        <f t="shared" si="90"/>
        <v>12</v>
      </c>
      <c r="O415" s="120"/>
      <c r="P415" s="96">
        <f t="shared" si="98"/>
        <v>12</v>
      </c>
      <c r="Q415" s="97">
        <f t="shared" si="91"/>
        <v>12</v>
      </c>
      <c r="R415" s="228"/>
      <c r="S415" s="287"/>
      <c r="T415" s="287"/>
      <c r="U415" s="287"/>
      <c r="V415" s="287"/>
      <c r="W415" s="287"/>
      <c r="X415" s="287"/>
      <c r="Y415" s="287">
        <f t="shared" si="104"/>
        <v>12</v>
      </c>
      <c r="Z415" s="120"/>
      <c r="AA415" s="96">
        <f>S415+T415+U415+V415+W415+X415+Y415</f>
        <v>12</v>
      </c>
      <c r="AB415" s="97">
        <f>IF(C415=2012, AA415/3,AA415)+Z415</f>
        <v>12</v>
      </c>
      <c r="AC415" s="287"/>
      <c r="AD415" s="287"/>
      <c r="AE415" s="287"/>
      <c r="AF415" s="287"/>
      <c r="AG415" s="287">
        <f>27</f>
        <v>27</v>
      </c>
      <c r="AH415" s="287"/>
      <c r="AI415" s="120">
        <f>3</f>
        <v>3</v>
      </c>
      <c r="AJ415" s="96">
        <f>SUM(AD415:AH415)</f>
        <v>27</v>
      </c>
      <c r="AK415" s="97">
        <f>IF(C415=2011, AJ415/3,AJ415)+AI415</f>
        <v>12</v>
      </c>
      <c r="AL415" s="22"/>
      <c r="AM415" s="287"/>
      <c r="AN415" s="287"/>
      <c r="AO415" s="287"/>
      <c r="AP415" s="287"/>
      <c r="AQ415" s="287"/>
      <c r="AR415" s="287"/>
      <c r="AS415" s="285"/>
      <c r="AT415" s="95"/>
      <c r="AU415" s="96"/>
      <c r="AV415" s="97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spans="1:67" s="17" customFormat="1" x14ac:dyDescent="0.25">
      <c r="A416" s="11" t="s">
        <v>137</v>
      </c>
      <c r="B416" s="60" t="s">
        <v>231</v>
      </c>
      <c r="C416" s="62">
        <v>2011</v>
      </c>
      <c r="D416" s="1">
        <f t="shared" si="97"/>
        <v>273.33333333333331</v>
      </c>
      <c r="E416" s="283">
        <f>36</f>
        <v>36</v>
      </c>
      <c r="F416" s="278"/>
      <c r="G416" s="120"/>
      <c r="H416" s="13"/>
      <c r="I416" s="108"/>
      <c r="J416" s="108"/>
      <c r="K416" s="108">
        <f>30</f>
        <v>30</v>
      </c>
      <c r="L416" s="108">
        <f>4</f>
        <v>4</v>
      </c>
      <c r="M416" s="108"/>
      <c r="N416" s="267">
        <f t="shared" si="90"/>
        <v>203.33333333333331</v>
      </c>
      <c r="O416" s="120"/>
      <c r="P416" s="96">
        <f t="shared" si="98"/>
        <v>237.33333333333331</v>
      </c>
      <c r="Q416" s="97">
        <f t="shared" si="91"/>
        <v>237.33333333333331</v>
      </c>
      <c r="R416" s="108"/>
      <c r="S416" s="287"/>
      <c r="T416" s="287"/>
      <c r="U416" s="287">
        <f>22+6</f>
        <v>28</v>
      </c>
      <c r="V416" s="287">
        <f>36+6</f>
        <v>42</v>
      </c>
      <c r="W416" s="287">
        <f>0+6</f>
        <v>6</v>
      </c>
      <c r="X416" s="287">
        <f>24+6</f>
        <v>30</v>
      </c>
      <c r="Y416" s="261">
        <f t="shared" si="104"/>
        <v>97.333333333333329</v>
      </c>
      <c r="Z416" s="120"/>
      <c r="AA416" s="96">
        <f>S416+T416+U416+V416+W416+X416+Y416</f>
        <v>203.33333333333331</v>
      </c>
      <c r="AB416" s="97">
        <f>IF(C416=2012, AA416/3,AA416)+Z416</f>
        <v>203.33333333333331</v>
      </c>
      <c r="AC416" s="287"/>
      <c r="AD416" s="287">
        <f>6+6</f>
        <v>12</v>
      </c>
      <c r="AE416" s="261">
        <f>24+39</f>
        <v>63</v>
      </c>
      <c r="AF416" s="261">
        <f>37+3</f>
        <v>40</v>
      </c>
      <c r="AG416" s="261">
        <f>27+21</f>
        <v>48</v>
      </c>
      <c r="AH416" s="261">
        <f>AV416</f>
        <v>129</v>
      </c>
      <c r="AI416" s="120"/>
      <c r="AJ416" s="96">
        <f>SUM(AD416:AH416)</f>
        <v>292</v>
      </c>
      <c r="AK416" s="97">
        <f>IF(C416=2011, AJ416/3,AJ416)+AI416</f>
        <v>97.333333333333329</v>
      </c>
      <c r="AL416" s="22"/>
      <c r="AM416" s="41"/>
      <c r="AN416" s="41">
        <v>8</v>
      </c>
      <c r="AO416" s="41"/>
      <c r="AP416" s="41">
        <f>18+5</f>
        <v>23</v>
      </c>
      <c r="AQ416" s="41">
        <f>36+15</f>
        <v>51</v>
      </c>
      <c r="AR416" s="41">
        <f>32+15</f>
        <v>47</v>
      </c>
      <c r="AS416" s="13"/>
      <c r="AT416" s="95"/>
      <c r="AU416" s="96">
        <f>SUM(AM416:AS416)</f>
        <v>129</v>
      </c>
      <c r="AV416" s="97">
        <f>IF(C416=2015, AU416/3,AU416)+AT416</f>
        <v>129</v>
      </c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spans="1:67" x14ac:dyDescent="0.25">
      <c r="A417" s="11" t="s">
        <v>816</v>
      </c>
      <c r="B417" s="60" t="s">
        <v>583</v>
      </c>
      <c r="C417" s="62">
        <v>2013</v>
      </c>
      <c r="D417" s="1">
        <f t="shared" si="97"/>
        <v>1</v>
      </c>
      <c r="E417" s="287"/>
      <c r="F417" s="287"/>
      <c r="I417" s="287"/>
      <c r="J417" s="287"/>
      <c r="K417" s="287"/>
      <c r="L417" s="287"/>
      <c r="M417" s="287"/>
      <c r="N417" s="267">
        <f t="shared" si="90"/>
        <v>3</v>
      </c>
      <c r="P417" s="96">
        <f t="shared" si="98"/>
        <v>3</v>
      </c>
      <c r="Q417" s="97">
        <f t="shared" si="91"/>
        <v>1</v>
      </c>
      <c r="R417" s="287"/>
      <c r="S417" s="287"/>
      <c r="T417" s="287"/>
      <c r="U417" s="287"/>
      <c r="V417" s="287"/>
      <c r="W417" s="287"/>
      <c r="X417" s="287">
        <f>3</f>
        <v>3</v>
      </c>
      <c r="Y417" s="261">
        <f t="shared" si="104"/>
        <v>0</v>
      </c>
      <c r="Z417" s="152"/>
      <c r="AA417" s="96">
        <f>AM417+S417+T417+U417+V417+W417+X417+Y417</f>
        <v>3</v>
      </c>
      <c r="AB417" s="97">
        <f>IF(C417=2017, AA417/3,AA417)+Z417</f>
        <v>3</v>
      </c>
      <c r="AC417" s="290"/>
      <c r="AD417" s="290"/>
      <c r="AE417" s="261"/>
      <c r="AF417" s="261"/>
      <c r="AG417" s="261"/>
      <c r="AH417" s="261"/>
      <c r="AI417" s="120"/>
      <c r="AJ417" s="96">
        <f>SUM(AE417:AH417)</f>
        <v>0</v>
      </c>
      <c r="AK417" s="97">
        <f>IF(C417=2016, AJ417/3,AJ417)+AI417</f>
        <v>0</v>
      </c>
      <c r="AL417" s="22"/>
      <c r="AM417" s="287"/>
      <c r="AN417" s="287"/>
      <c r="AO417" s="287"/>
      <c r="AP417" s="287"/>
      <c r="AQ417" s="287"/>
      <c r="AR417" s="287"/>
      <c r="AS417" s="285"/>
      <c r="AT417" s="95"/>
      <c r="AU417" s="96"/>
      <c r="AV417" s="97"/>
    </row>
    <row r="418" spans="1:67" s="17" customFormat="1" x14ac:dyDescent="0.25">
      <c r="A418" s="71" t="s">
        <v>251</v>
      </c>
      <c r="B418" s="71" t="s">
        <v>231</v>
      </c>
      <c r="C418" s="72">
        <v>2011</v>
      </c>
      <c r="D418" s="1">
        <f t="shared" si="97"/>
        <v>0</v>
      </c>
      <c r="E418" s="283"/>
      <c r="F418" s="278"/>
      <c r="G418" s="120"/>
      <c r="H418" s="13"/>
      <c r="I418" s="261"/>
      <c r="J418" s="246"/>
      <c r="K418" s="241"/>
      <c r="L418" s="241"/>
      <c r="M418" s="241"/>
      <c r="N418" s="267">
        <f t="shared" si="90"/>
        <v>0</v>
      </c>
      <c r="O418" s="120"/>
      <c r="P418" s="96">
        <f t="shared" si="98"/>
        <v>0</v>
      </c>
      <c r="Q418" s="97">
        <f t="shared" si="91"/>
        <v>0</v>
      </c>
      <c r="R418" s="241"/>
      <c r="S418" s="241"/>
      <c r="T418" s="241"/>
      <c r="U418" s="241"/>
      <c r="V418" s="241"/>
      <c r="W418" s="241"/>
      <c r="X418" s="241"/>
      <c r="Y418" s="241">
        <f t="shared" si="104"/>
        <v>0</v>
      </c>
      <c r="Z418" s="120"/>
      <c r="AA418" s="96">
        <f>S418+T418+U418+V418+W418+X418+Y418</f>
        <v>0</v>
      </c>
      <c r="AB418" s="97">
        <f>IF(C418=2012, AA418/3,AA418)+Z418</f>
        <v>0</v>
      </c>
      <c r="AC418" s="287"/>
      <c r="AD418" s="241"/>
      <c r="AE418" s="241"/>
      <c r="AF418" s="241"/>
      <c r="AG418" s="241"/>
      <c r="AH418" s="241">
        <f>AV418</f>
        <v>0</v>
      </c>
      <c r="AI418" s="120"/>
      <c r="AJ418" s="96">
        <f>SUM(AD418:AH418)</f>
        <v>0</v>
      </c>
      <c r="AK418" s="97">
        <f>IF(C418=2011, AJ418/3,AJ418)+AI418</f>
        <v>0</v>
      </c>
      <c r="AL418" s="22"/>
      <c r="AM418" s="287"/>
      <c r="AN418" s="287"/>
      <c r="AO418" s="287">
        <f>0</f>
        <v>0</v>
      </c>
      <c r="AP418" s="287"/>
      <c r="AQ418" s="287"/>
      <c r="AR418" s="287"/>
      <c r="AS418" s="285"/>
      <c r="AT418" s="95"/>
      <c r="AU418" s="96">
        <f>SUM(AM418:AS418)</f>
        <v>0</v>
      </c>
      <c r="AV418" s="97">
        <f>IF(C418=2015, AU418/3,AU418)+AT418</f>
        <v>0</v>
      </c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spans="1:67" x14ac:dyDescent="0.25">
      <c r="A419" s="11" t="s">
        <v>861</v>
      </c>
      <c r="B419" s="60" t="s">
        <v>476</v>
      </c>
      <c r="C419" s="62">
        <v>2013</v>
      </c>
      <c r="D419" s="1">
        <f t="shared" si="97"/>
        <v>1</v>
      </c>
      <c r="N419" s="267">
        <f t="shared" ref="N419:N470" si="105">AB419</f>
        <v>3</v>
      </c>
      <c r="P419" s="96">
        <f t="shared" si="98"/>
        <v>3</v>
      </c>
      <c r="Q419" s="97">
        <f t="shared" ref="Q419:Q470" si="106">IF(C419=2013, P419/3,P419)+O419</f>
        <v>1</v>
      </c>
      <c r="S419" s="287"/>
      <c r="T419" s="287"/>
      <c r="U419" s="287"/>
      <c r="V419" s="287"/>
      <c r="W419" s="287">
        <f>2+1</f>
        <v>3</v>
      </c>
      <c r="X419" s="287"/>
      <c r="Y419" s="287">
        <f t="shared" si="104"/>
        <v>0</v>
      </c>
      <c r="Z419" s="152"/>
      <c r="AA419" s="96">
        <f>AM419+S419+T419+U419+V419+W419+X419+Y419</f>
        <v>3</v>
      </c>
      <c r="AB419" s="97">
        <f>IF(C419=2017, AA419/3,AA419)+Z419</f>
        <v>3</v>
      </c>
      <c r="AE419" s="287"/>
      <c r="AF419" s="287"/>
      <c r="AG419" s="287"/>
      <c r="AH419" s="287"/>
      <c r="AI419" s="120"/>
      <c r="AJ419" s="96">
        <f>SUM(AE419:AH419)</f>
        <v>0</v>
      </c>
      <c r="AK419" s="97">
        <f>IF(C419=2016, AJ419/3,AJ419)+AI419</f>
        <v>0</v>
      </c>
      <c r="AL419" s="22"/>
      <c r="AM419" s="287"/>
      <c r="AN419" s="287"/>
      <c r="AO419" s="287"/>
      <c r="AP419" s="287"/>
      <c r="AQ419" s="287"/>
      <c r="AR419" s="287"/>
      <c r="AS419" s="285"/>
      <c r="AT419" s="95"/>
      <c r="AU419" s="96"/>
      <c r="AV419" s="97"/>
    </row>
    <row r="420" spans="1:67" x14ac:dyDescent="0.25">
      <c r="A420" s="53" t="s">
        <v>904</v>
      </c>
      <c r="B420" s="84" t="s">
        <v>64</v>
      </c>
      <c r="C420" s="54"/>
      <c r="D420" s="1">
        <f t="shared" si="97"/>
        <v>3</v>
      </c>
      <c r="N420" s="267">
        <f t="shared" si="105"/>
        <v>3</v>
      </c>
      <c r="P420" s="96">
        <f t="shared" si="98"/>
        <v>3</v>
      </c>
      <c r="Q420" s="97">
        <f t="shared" si="106"/>
        <v>3</v>
      </c>
      <c r="S420" s="278"/>
      <c r="T420" s="278"/>
      <c r="U420" s="278"/>
      <c r="V420" s="278">
        <f>0+3</f>
        <v>3</v>
      </c>
      <c r="W420" s="278"/>
      <c r="X420" s="278"/>
      <c r="Y420" s="278">
        <f t="shared" si="104"/>
        <v>0</v>
      </c>
      <c r="Z420" s="120"/>
      <c r="AA420" s="96">
        <f>S420+T420+U420+V420+W420+X420+Y420</f>
        <v>3</v>
      </c>
      <c r="AB420" s="97">
        <f>IF(C420=2012, AA420/3,AA420)+Z420</f>
        <v>3</v>
      </c>
      <c r="AC420" s="22"/>
      <c r="AD420" s="278"/>
      <c r="AE420" s="278"/>
      <c r="AF420" s="278"/>
      <c r="AG420" s="278"/>
      <c r="AH420" s="278"/>
      <c r="AI420" s="120"/>
      <c r="AJ420" s="96">
        <f>SUM(AD420:AH420)</f>
        <v>0</v>
      </c>
      <c r="AK420" s="97">
        <f>IF(C420=2011, AJ420/3,AJ420)+AI420</f>
        <v>0</v>
      </c>
      <c r="AL420" s="22"/>
      <c r="AM420" s="41"/>
      <c r="AN420" s="41"/>
      <c r="AO420" s="41"/>
      <c r="AP420" s="41"/>
      <c r="AQ420" s="41"/>
      <c r="AR420" s="41"/>
      <c r="AS420" s="41"/>
      <c r="AT420" s="95"/>
      <c r="AU420" s="96"/>
      <c r="AV420" s="97"/>
    </row>
    <row r="421" spans="1:67" x14ac:dyDescent="0.25">
      <c r="A421" s="53" t="s">
        <v>1074</v>
      </c>
      <c r="B421" s="84" t="s">
        <v>1336</v>
      </c>
      <c r="C421" s="54">
        <v>2011</v>
      </c>
      <c r="D421" s="1">
        <f t="shared" si="97"/>
        <v>100</v>
      </c>
      <c r="E421" s="283">
        <f>24</f>
        <v>24</v>
      </c>
      <c r="F421" s="278">
        <f>14</f>
        <v>14</v>
      </c>
      <c r="I421" s="261">
        <f>56</f>
        <v>56</v>
      </c>
      <c r="L421" s="241">
        <f>17+3</f>
        <v>20</v>
      </c>
      <c r="M421" s="241">
        <f>2+2</f>
        <v>4</v>
      </c>
      <c r="N421" s="267">
        <f t="shared" si="105"/>
        <v>0</v>
      </c>
      <c r="P421" s="96">
        <f t="shared" si="98"/>
        <v>76</v>
      </c>
      <c r="Q421" s="97">
        <f t="shared" si="106"/>
        <v>76</v>
      </c>
      <c r="R421" s="241"/>
      <c r="S421" s="287"/>
      <c r="T421" s="287"/>
      <c r="U421" s="287"/>
      <c r="V421" s="287"/>
      <c r="W421" s="287"/>
      <c r="X421" s="287"/>
      <c r="Y421" s="287"/>
      <c r="Z421" s="120"/>
      <c r="AA421" s="96"/>
      <c r="AB421" s="97"/>
      <c r="AC421" s="22"/>
      <c r="AD421" s="287"/>
      <c r="AE421" s="287"/>
      <c r="AF421" s="287"/>
      <c r="AG421" s="287"/>
      <c r="AH421" s="287"/>
      <c r="AI421" s="120"/>
      <c r="AJ421" s="96"/>
      <c r="AK421" s="97"/>
      <c r="AL421" s="22"/>
      <c r="AM421" s="41"/>
      <c r="AN421" s="41"/>
      <c r="AO421" s="41"/>
      <c r="AP421" s="41"/>
      <c r="AQ421" s="41"/>
      <c r="AR421" s="41"/>
      <c r="AS421" s="41"/>
      <c r="AT421" s="95"/>
      <c r="AU421" s="96"/>
      <c r="AV421" s="97"/>
    </row>
    <row r="422" spans="1:67" x14ac:dyDescent="0.25">
      <c r="A422" s="53" t="s">
        <v>968</v>
      </c>
      <c r="B422" s="84" t="s">
        <v>63</v>
      </c>
      <c r="C422" s="54">
        <v>2011</v>
      </c>
      <c r="D422" s="1">
        <f t="shared" si="97"/>
        <v>73</v>
      </c>
      <c r="E422" s="287">
        <f>0</f>
        <v>0</v>
      </c>
      <c r="F422" s="287"/>
      <c r="I422" s="287">
        <f>12</f>
        <v>12</v>
      </c>
      <c r="J422" s="287">
        <f>2</f>
        <v>2</v>
      </c>
      <c r="K422" s="287">
        <f>21+2</f>
        <v>23</v>
      </c>
      <c r="L422" s="287"/>
      <c r="M422" s="287"/>
      <c r="N422" s="267">
        <f t="shared" si="105"/>
        <v>36</v>
      </c>
      <c r="P422" s="96">
        <f t="shared" si="98"/>
        <v>73</v>
      </c>
      <c r="Q422" s="97">
        <f t="shared" si="106"/>
        <v>73</v>
      </c>
      <c r="R422" s="287"/>
      <c r="S422" s="287">
        <f>19</f>
        <v>19</v>
      </c>
      <c r="T422" s="287">
        <f>14+3</f>
        <v>17</v>
      </c>
      <c r="U422" s="287"/>
      <c r="V422" s="287"/>
      <c r="W422" s="287"/>
      <c r="X422" s="287"/>
      <c r="Y422" s="215">
        <f>AK422</f>
        <v>0</v>
      </c>
      <c r="Z422" s="120"/>
      <c r="AA422" s="96">
        <f>S422+T422+U422+V422+W422+X422+Y422</f>
        <v>36</v>
      </c>
      <c r="AB422" s="97">
        <f>IF(C422=2012, AA422/3,AA422)+Z422</f>
        <v>36</v>
      </c>
      <c r="AC422" s="22"/>
      <c r="AD422" s="287"/>
      <c r="AE422" s="287"/>
      <c r="AF422" s="287"/>
      <c r="AG422" s="287"/>
      <c r="AH422" s="287"/>
      <c r="AI422" s="120"/>
      <c r="AJ422" s="96">
        <f>SUM(AD422:AH422)</f>
        <v>0</v>
      </c>
      <c r="AK422" s="97">
        <f>IF(C422=2011, AJ422/3,AJ422)+AI422</f>
        <v>0</v>
      </c>
      <c r="AL422" s="22"/>
      <c r="AM422" s="41"/>
      <c r="AN422" s="41"/>
      <c r="AO422" s="41"/>
      <c r="AP422" s="41"/>
      <c r="AQ422" s="41"/>
      <c r="AR422" s="41"/>
      <c r="AS422" s="41"/>
      <c r="AT422" s="95"/>
      <c r="AU422" s="96"/>
      <c r="AV422" s="97"/>
    </row>
    <row r="423" spans="1:67" x14ac:dyDescent="0.25">
      <c r="A423" s="71" t="s">
        <v>397</v>
      </c>
      <c r="B423" s="71" t="s">
        <v>111</v>
      </c>
      <c r="C423" s="72">
        <v>2011</v>
      </c>
      <c r="D423" s="1">
        <f t="shared" si="97"/>
        <v>22.666666666666668</v>
      </c>
      <c r="L423" s="241"/>
      <c r="M423" s="241"/>
      <c r="N423" s="267">
        <f t="shared" si="105"/>
        <v>22.666666666666668</v>
      </c>
      <c r="P423" s="96">
        <f t="shared" si="98"/>
        <v>22.666666666666668</v>
      </c>
      <c r="Q423" s="97">
        <f t="shared" si="106"/>
        <v>22.666666666666668</v>
      </c>
      <c r="R423" s="241"/>
      <c r="S423" s="287"/>
      <c r="T423" s="287"/>
      <c r="U423" s="287"/>
      <c r="V423" s="287"/>
      <c r="W423" s="287"/>
      <c r="X423" s="287"/>
      <c r="Y423" s="287">
        <f>AK423</f>
        <v>22.666666666666668</v>
      </c>
      <c r="Z423" s="120"/>
      <c r="AA423" s="96">
        <f>S423+T423+U423+V423+W423+X423+Y423</f>
        <v>22.666666666666668</v>
      </c>
      <c r="AB423" s="97">
        <f>IF(C423=2012, AA423/3,AA423)+Z423</f>
        <v>22.666666666666668</v>
      </c>
      <c r="AC423" s="287"/>
      <c r="AD423" s="287"/>
      <c r="AE423" s="287">
        <f>0</f>
        <v>0</v>
      </c>
      <c r="AF423" s="287">
        <f>37+2</f>
        <v>39</v>
      </c>
      <c r="AG423" s="287"/>
      <c r="AH423" s="287">
        <f>AV423</f>
        <v>29</v>
      </c>
      <c r="AI423" s="120"/>
      <c r="AJ423" s="96">
        <f>SUM(AD423:AH423)</f>
        <v>68</v>
      </c>
      <c r="AK423" s="97">
        <f>IF(C423=2011, AJ423/3,AJ423)+AI423</f>
        <v>22.666666666666668</v>
      </c>
      <c r="AL423" s="22"/>
      <c r="AM423" s="287"/>
      <c r="AN423" s="287"/>
      <c r="AO423" s="287"/>
      <c r="AP423" s="287"/>
      <c r="AQ423" s="287">
        <f>29</f>
        <v>29</v>
      </c>
      <c r="AR423" s="287">
        <f>0</f>
        <v>0</v>
      </c>
      <c r="AS423" s="285"/>
      <c r="AT423" s="95"/>
      <c r="AU423" s="96">
        <f>SUM(AM423:AS423)</f>
        <v>29</v>
      </c>
      <c r="AV423" s="97">
        <f>IF(C423=2015, AU423/3,AU423)+AT423</f>
        <v>29</v>
      </c>
    </row>
    <row r="424" spans="1:67" x14ac:dyDescent="0.25">
      <c r="A424" s="11" t="s">
        <v>134</v>
      </c>
      <c r="B424" s="60" t="s">
        <v>64</v>
      </c>
      <c r="C424" s="62">
        <v>2013</v>
      </c>
      <c r="D424" s="1">
        <f t="shared" si="97"/>
        <v>65</v>
      </c>
      <c r="E424" s="283">
        <f>27</f>
        <v>27</v>
      </c>
      <c r="J424" s="246">
        <f>21</f>
        <v>21</v>
      </c>
      <c r="K424" s="246">
        <f>0</f>
        <v>0</v>
      </c>
      <c r="L424" s="246">
        <f>0</f>
        <v>0</v>
      </c>
      <c r="M424" s="246"/>
      <c r="N424" s="267">
        <f t="shared" si="105"/>
        <v>93</v>
      </c>
      <c r="P424" s="96">
        <f t="shared" si="98"/>
        <v>114</v>
      </c>
      <c r="Q424" s="97">
        <f t="shared" si="106"/>
        <v>38</v>
      </c>
      <c r="R424" s="246"/>
      <c r="S424" s="287"/>
      <c r="T424" s="287">
        <f>0</f>
        <v>0</v>
      </c>
      <c r="U424" s="287"/>
      <c r="V424" s="287">
        <f>0+9+6</f>
        <v>15</v>
      </c>
      <c r="W424" s="287">
        <f>0+18</f>
        <v>18</v>
      </c>
      <c r="X424" s="287">
        <f>6</f>
        <v>6</v>
      </c>
      <c r="Y424" s="287">
        <f>AK424</f>
        <v>54</v>
      </c>
      <c r="Z424" s="120"/>
      <c r="AA424" s="96">
        <f>AM424+S424+T424+U424+V424+W424+X424+Y424</f>
        <v>93</v>
      </c>
      <c r="AB424" s="97">
        <f>IF(C424=2017, AA424/3,AA424)+Z424</f>
        <v>93</v>
      </c>
      <c r="AC424" s="290"/>
      <c r="AD424" s="290"/>
      <c r="AE424" s="287"/>
      <c r="AF424" s="287">
        <f>2</f>
        <v>2</v>
      </c>
      <c r="AG424" s="287">
        <f>18+6</f>
        <v>24</v>
      </c>
      <c r="AH424" s="287">
        <f>AV424</f>
        <v>28</v>
      </c>
      <c r="AI424" s="120"/>
      <c r="AJ424" s="96">
        <f>SUM(AE424:AH424)</f>
        <v>54</v>
      </c>
      <c r="AK424" s="97">
        <f>IF(C424=2016, AJ424/3,AJ424)+AI424</f>
        <v>54</v>
      </c>
      <c r="AL424" s="22"/>
      <c r="AM424" s="41"/>
      <c r="AN424" s="41">
        <v>8</v>
      </c>
      <c r="AO424" s="41">
        <f>20</f>
        <v>20</v>
      </c>
      <c r="AP424" s="41"/>
      <c r="AQ424" s="41"/>
      <c r="AR424" s="41"/>
      <c r="AT424" s="95"/>
      <c r="AU424" s="96">
        <f>SUM(AM424:AS424)</f>
        <v>28</v>
      </c>
      <c r="AV424" s="97">
        <f>IF(C424=2015, AU424/3,AU424)+AT424</f>
        <v>28</v>
      </c>
    </row>
    <row r="425" spans="1:67" x14ac:dyDescent="0.25">
      <c r="A425" s="11" t="s">
        <v>240</v>
      </c>
      <c r="B425" s="11" t="s">
        <v>241</v>
      </c>
      <c r="C425" s="3">
        <v>2010</v>
      </c>
      <c r="D425" s="1">
        <f t="shared" si="97"/>
        <v>40.666666666666664</v>
      </c>
      <c r="I425" s="108"/>
      <c r="J425" s="108"/>
      <c r="K425" s="108"/>
      <c r="L425" s="108"/>
      <c r="M425" s="108"/>
      <c r="N425" s="267">
        <f t="shared" si="105"/>
        <v>40.666666666666664</v>
      </c>
      <c r="P425" s="96">
        <f t="shared" si="98"/>
        <v>40.666666666666664</v>
      </c>
      <c r="Q425" s="97">
        <f t="shared" si="106"/>
        <v>40.666666666666664</v>
      </c>
      <c r="R425" s="108"/>
      <c r="S425" s="287"/>
      <c r="T425" s="287"/>
      <c r="U425" s="287"/>
      <c r="V425" s="287"/>
      <c r="W425" s="287"/>
      <c r="X425" s="287"/>
      <c r="Y425" s="287">
        <f>AK425</f>
        <v>40.666666666666664</v>
      </c>
      <c r="Z425" s="120"/>
      <c r="AA425" s="96">
        <f>S425+T425+U425+V425+W425+X425+Y425</f>
        <v>40.666666666666664</v>
      </c>
      <c r="AB425" s="97">
        <f>IF(C425=2012, AA425/3,AA425)+Z425</f>
        <v>40.666666666666664</v>
      </c>
      <c r="AC425" s="22"/>
      <c r="AD425" s="287"/>
      <c r="AE425" s="287"/>
      <c r="AF425" s="287"/>
      <c r="AG425" s="287"/>
      <c r="AH425" s="287">
        <f>AV425</f>
        <v>40.666666666666664</v>
      </c>
      <c r="AI425" s="120"/>
      <c r="AJ425" s="96">
        <f>SUM(AD425:AH425)</f>
        <v>40.666666666666664</v>
      </c>
      <c r="AK425" s="97">
        <f>IF(C425=2011, AJ425/3,AJ425)+AI425</f>
        <v>40.666666666666664</v>
      </c>
      <c r="AL425" s="22"/>
      <c r="AM425" s="287"/>
      <c r="AN425" s="287"/>
      <c r="AO425" s="287">
        <f>48</f>
        <v>48</v>
      </c>
      <c r="AP425" s="287"/>
      <c r="AQ425" s="287"/>
      <c r="AR425" s="287"/>
      <c r="AS425" s="285">
        <f>74</f>
        <v>74</v>
      </c>
      <c r="AT425" s="95"/>
      <c r="AU425" s="96">
        <f>SUM(AM425:AS425)</f>
        <v>122</v>
      </c>
      <c r="AV425" s="97">
        <f>IF(C425=2010, AU425/3,AU425)+AT425</f>
        <v>40.666666666666664</v>
      </c>
    </row>
    <row r="426" spans="1:67" x14ac:dyDescent="0.25">
      <c r="A426" s="11" t="s">
        <v>314</v>
      </c>
      <c r="B426" s="60" t="s">
        <v>6</v>
      </c>
      <c r="C426" s="62">
        <v>2011</v>
      </c>
      <c r="D426" s="1">
        <f t="shared" si="97"/>
        <v>63.333333333333336</v>
      </c>
      <c r="N426" s="267">
        <f t="shared" si="105"/>
        <v>63.333333333333336</v>
      </c>
      <c r="P426" s="96">
        <f t="shared" si="98"/>
        <v>63.333333333333336</v>
      </c>
      <c r="Q426" s="97">
        <f t="shared" si="106"/>
        <v>63.333333333333336</v>
      </c>
      <c r="S426" s="278"/>
      <c r="T426" s="278"/>
      <c r="U426" s="278"/>
      <c r="V426" s="278"/>
      <c r="W426" s="278"/>
      <c r="X426" s="278"/>
      <c r="Y426" s="215">
        <f>AK426</f>
        <v>63.333333333333336</v>
      </c>
      <c r="Z426" s="120"/>
      <c r="AA426" s="96">
        <f>S426+T426+U426+V426+W426+X426+Y426</f>
        <v>63.333333333333336</v>
      </c>
      <c r="AB426" s="97">
        <f>IF(C426=2012, AA426/3,AA426)+Z426</f>
        <v>63.333333333333336</v>
      </c>
      <c r="AC426" s="287"/>
      <c r="AD426" s="287"/>
      <c r="AE426" s="168"/>
      <c r="AF426" s="168">
        <f>47</f>
        <v>47</v>
      </c>
      <c r="AG426" s="168">
        <f>36+21</f>
        <v>57</v>
      </c>
      <c r="AH426" s="168">
        <f>AV426</f>
        <v>86</v>
      </c>
      <c r="AI426" s="120"/>
      <c r="AJ426" s="96">
        <f>SUM(AD426:AH426)</f>
        <v>190</v>
      </c>
      <c r="AK426" s="97">
        <f>IF(C426=2011, AJ426/3,AJ426)+AI426</f>
        <v>63.333333333333336</v>
      </c>
      <c r="AL426" s="22"/>
      <c r="AM426" s="41"/>
      <c r="AN426" s="41"/>
      <c r="AO426" s="41"/>
      <c r="AP426" s="41">
        <f>0</f>
        <v>0</v>
      </c>
      <c r="AQ426" s="41">
        <f>29</f>
        <v>29</v>
      </c>
      <c r="AR426" s="41">
        <f>42+15</f>
        <v>57</v>
      </c>
      <c r="AT426" s="95"/>
      <c r="AU426" s="96">
        <f>SUM(AM426:AS426)</f>
        <v>86</v>
      </c>
      <c r="AV426" s="97">
        <f>IF(C426=2015, AU426/3,AU426)+AT426</f>
        <v>86</v>
      </c>
    </row>
    <row r="427" spans="1:67" x14ac:dyDescent="0.25">
      <c r="A427" s="53" t="s">
        <v>1238</v>
      </c>
      <c r="B427" s="65" t="s">
        <v>697</v>
      </c>
      <c r="C427" s="54"/>
      <c r="D427" s="1">
        <f t="shared" si="97"/>
        <v>50</v>
      </c>
      <c r="I427" s="261">
        <f>40</f>
        <v>40</v>
      </c>
      <c r="K427" s="241">
        <f>10</f>
        <v>10</v>
      </c>
      <c r="N427" s="267">
        <f t="shared" si="105"/>
        <v>0</v>
      </c>
      <c r="P427" s="96">
        <f t="shared" si="98"/>
        <v>50</v>
      </c>
      <c r="Q427" s="97">
        <f t="shared" si="106"/>
        <v>50</v>
      </c>
      <c r="S427" s="287"/>
      <c r="T427" s="287"/>
      <c r="U427" s="287"/>
      <c r="V427" s="287"/>
      <c r="W427" s="287"/>
      <c r="X427" s="287"/>
      <c r="Y427" s="287"/>
      <c r="Z427" s="120"/>
      <c r="AA427" s="96"/>
      <c r="AB427" s="97"/>
      <c r="AC427" s="22"/>
      <c r="AD427" s="287"/>
      <c r="AE427" s="287"/>
      <c r="AF427" s="287"/>
      <c r="AG427" s="287"/>
      <c r="AH427" s="287"/>
      <c r="AI427" s="120"/>
      <c r="AJ427" s="96"/>
      <c r="AK427" s="97"/>
      <c r="AL427" s="22"/>
      <c r="AM427" s="41"/>
      <c r="AN427" s="41"/>
      <c r="AO427" s="41"/>
      <c r="AP427" s="41"/>
      <c r="AQ427" s="41"/>
      <c r="AR427" s="41"/>
      <c r="AS427" s="41"/>
      <c r="AT427" s="95"/>
      <c r="AU427" s="96"/>
      <c r="AV427" s="97"/>
    </row>
    <row r="428" spans="1:67" s="17" customFormat="1" x14ac:dyDescent="0.25">
      <c r="A428" s="61" t="s">
        <v>577</v>
      </c>
      <c r="B428" s="85" t="s">
        <v>64</v>
      </c>
      <c r="C428" s="63">
        <v>2010</v>
      </c>
      <c r="D428" s="1">
        <f t="shared" si="97"/>
        <v>132</v>
      </c>
      <c r="E428" s="283"/>
      <c r="F428" s="278"/>
      <c r="G428" s="120"/>
      <c r="H428" s="13"/>
      <c r="I428" s="108"/>
      <c r="J428" s="108">
        <f>0</f>
        <v>0</v>
      </c>
      <c r="K428" s="108">
        <f>6</f>
        <v>6</v>
      </c>
      <c r="L428" s="108"/>
      <c r="M428" s="108"/>
      <c r="N428" s="267">
        <f t="shared" si="105"/>
        <v>126</v>
      </c>
      <c r="O428" s="120"/>
      <c r="P428" s="96">
        <f t="shared" si="98"/>
        <v>132</v>
      </c>
      <c r="Q428" s="97">
        <f t="shared" si="106"/>
        <v>132</v>
      </c>
      <c r="R428" s="108"/>
      <c r="S428" s="278"/>
      <c r="T428" s="278">
        <f>6</f>
        <v>6</v>
      </c>
      <c r="U428" s="278"/>
      <c r="V428" s="278"/>
      <c r="W428" s="278">
        <f>0+18</f>
        <v>18</v>
      </c>
      <c r="X428" s="278">
        <f>0+6</f>
        <v>6</v>
      </c>
      <c r="Y428" s="278">
        <f>AK428</f>
        <v>96</v>
      </c>
      <c r="Z428" s="120"/>
      <c r="AA428" s="96">
        <f>S428+T428+U428+V428+W428+X428+Y428</f>
        <v>126</v>
      </c>
      <c r="AB428" s="97">
        <f>IF(C428=2012, AA428/3,AA428)+Z428</f>
        <v>126</v>
      </c>
      <c r="AC428" s="22"/>
      <c r="AD428" s="287"/>
      <c r="AE428" s="278">
        <f>3</f>
        <v>3</v>
      </c>
      <c r="AF428" s="278">
        <f>90</f>
        <v>90</v>
      </c>
      <c r="AG428" s="278">
        <f>0+3</f>
        <v>3</v>
      </c>
      <c r="AH428" s="278"/>
      <c r="AI428" s="120"/>
      <c r="AJ428" s="96">
        <f>SUM(AD428:AH428)</f>
        <v>96</v>
      </c>
      <c r="AK428" s="97">
        <f>IF(C428=2011, AJ428/3,AJ428)+AI428</f>
        <v>96</v>
      </c>
      <c r="AL428" s="22"/>
      <c r="AM428" s="13"/>
      <c r="AN428" s="13"/>
      <c r="AO428" s="13"/>
      <c r="AP428" s="13"/>
      <c r="AQ428" s="13"/>
      <c r="AR428" s="13"/>
      <c r="AS428" s="13"/>
      <c r="AT428" s="95"/>
      <c r="AU428" s="96"/>
      <c r="AV428" s="97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spans="1:67" s="17" customFormat="1" x14ac:dyDescent="0.25">
      <c r="A429" s="71" t="s">
        <v>247</v>
      </c>
      <c r="B429" s="71" t="s">
        <v>231</v>
      </c>
      <c r="C429" s="72">
        <v>2012</v>
      </c>
      <c r="D429" s="1">
        <f t="shared" si="97"/>
        <v>10.333333333333334</v>
      </c>
      <c r="E429" s="283"/>
      <c r="F429" s="278"/>
      <c r="G429" s="120"/>
      <c r="H429" s="13"/>
      <c r="I429" s="261"/>
      <c r="J429" s="246"/>
      <c r="K429" s="241"/>
      <c r="L429" s="241"/>
      <c r="M429" s="241"/>
      <c r="N429" s="267">
        <f t="shared" si="105"/>
        <v>10.333333333333334</v>
      </c>
      <c r="O429" s="120"/>
      <c r="P429" s="96">
        <f t="shared" si="98"/>
        <v>10.333333333333334</v>
      </c>
      <c r="Q429" s="97">
        <f t="shared" si="106"/>
        <v>10.333333333333334</v>
      </c>
      <c r="R429" s="241"/>
      <c r="S429" s="287"/>
      <c r="T429" s="287"/>
      <c r="U429" s="287"/>
      <c r="V429" s="287"/>
      <c r="W429" s="287"/>
      <c r="X429" s="287"/>
      <c r="Y429" s="287">
        <f>AK429</f>
        <v>31</v>
      </c>
      <c r="Z429" s="120"/>
      <c r="AA429" s="96">
        <f>S429+T429+U429+V429+W429+X429+Y429</f>
        <v>31</v>
      </c>
      <c r="AB429" s="97">
        <f>IF(C429=2012, AA429/3,AA429)+Z429</f>
        <v>10.333333333333334</v>
      </c>
      <c r="AC429" s="290"/>
      <c r="AD429" s="290"/>
      <c r="AE429" s="287"/>
      <c r="AF429" s="287">
        <f>13</f>
        <v>13</v>
      </c>
      <c r="AG429" s="287"/>
      <c r="AH429" s="287">
        <f>AV429</f>
        <v>18</v>
      </c>
      <c r="AI429" s="120"/>
      <c r="AJ429" s="96">
        <f>SUM(AD429:AH429)</f>
        <v>31</v>
      </c>
      <c r="AK429" s="97">
        <f>IF(C429=2011, AJ429/3,AJ429)+AI429</f>
        <v>31</v>
      </c>
      <c r="AL429" s="22"/>
      <c r="AM429" s="287"/>
      <c r="AN429" s="287"/>
      <c r="AO429" s="287">
        <f>18</f>
        <v>18</v>
      </c>
      <c r="AP429" s="287">
        <f>0</f>
        <v>0</v>
      </c>
      <c r="AQ429" s="287"/>
      <c r="AR429" s="287"/>
      <c r="AS429" s="285"/>
      <c r="AT429" s="95"/>
      <c r="AU429" s="96">
        <f>SUM(AM429:AS429)</f>
        <v>18</v>
      </c>
      <c r="AV429" s="97">
        <f>IF(C429=2015, AU429/3,AU429)+AT429</f>
        <v>18</v>
      </c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spans="1:67" s="17" customFormat="1" x14ac:dyDescent="0.25">
      <c r="A430" s="71" t="s">
        <v>312</v>
      </c>
      <c r="B430" s="71" t="s">
        <v>231</v>
      </c>
      <c r="C430" s="72">
        <v>2010</v>
      </c>
      <c r="D430" s="1">
        <f t="shared" si="97"/>
        <v>62</v>
      </c>
      <c r="E430" s="283"/>
      <c r="F430" s="278"/>
      <c r="G430" s="120"/>
      <c r="H430" s="13"/>
      <c r="I430" s="154"/>
      <c r="J430" s="154"/>
      <c r="K430" s="154"/>
      <c r="L430" s="154"/>
      <c r="M430" s="154"/>
      <c r="N430" s="267">
        <f t="shared" si="105"/>
        <v>62</v>
      </c>
      <c r="O430" s="120"/>
      <c r="P430" s="96">
        <f t="shared" si="98"/>
        <v>62</v>
      </c>
      <c r="Q430" s="97">
        <f t="shared" si="106"/>
        <v>62</v>
      </c>
      <c r="R430" s="154"/>
      <c r="S430" s="287"/>
      <c r="T430" s="287"/>
      <c r="U430" s="287"/>
      <c r="V430" s="287"/>
      <c r="W430" s="287"/>
      <c r="X430" s="287">
        <f>24</f>
        <v>24</v>
      </c>
      <c r="Y430" s="287">
        <f>AK430</f>
        <v>38</v>
      </c>
      <c r="Z430" s="120"/>
      <c r="AA430" s="96">
        <f>S430+T430+U430+V430+W430+X430+Y430</f>
        <v>62</v>
      </c>
      <c r="AB430" s="97">
        <f>IF(C430=2012, AA430/3,AA430)+Z430</f>
        <v>62</v>
      </c>
      <c r="AC430" s="22"/>
      <c r="AD430" s="287">
        <f>8</f>
        <v>8</v>
      </c>
      <c r="AE430" s="287">
        <f>10</f>
        <v>10</v>
      </c>
      <c r="AF430" s="287">
        <f>20</f>
        <v>20</v>
      </c>
      <c r="AG430" s="287"/>
      <c r="AH430" s="287">
        <f>AV430</f>
        <v>0</v>
      </c>
      <c r="AI430" s="120"/>
      <c r="AJ430" s="96">
        <f>SUM(AD430:AH430)</f>
        <v>38</v>
      </c>
      <c r="AK430" s="97">
        <f>IF(C430=2011, AJ430/3,AJ430)+AI430</f>
        <v>38</v>
      </c>
      <c r="AL430" s="22"/>
      <c r="AM430" s="287"/>
      <c r="AN430" s="287"/>
      <c r="AO430" s="287"/>
      <c r="AP430" s="287">
        <f>0</f>
        <v>0</v>
      </c>
      <c r="AQ430" s="287"/>
      <c r="AR430" s="287">
        <f>0</f>
        <v>0</v>
      </c>
      <c r="AS430" s="285"/>
      <c r="AT430" s="95"/>
      <c r="AU430" s="96">
        <f>SUM(AM430:AS430)</f>
        <v>0</v>
      </c>
      <c r="AV430" s="97">
        <f>IF(C430=2010, AU430/3,AU430)+AT430</f>
        <v>0</v>
      </c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spans="1:67" s="17" customFormat="1" x14ac:dyDescent="0.25">
      <c r="A431" s="53" t="s">
        <v>1072</v>
      </c>
      <c r="B431" s="84" t="s">
        <v>231</v>
      </c>
      <c r="C431" s="54">
        <v>2011</v>
      </c>
      <c r="D431" s="1">
        <f t="shared" si="97"/>
        <v>133</v>
      </c>
      <c r="E431" s="283">
        <f>24</f>
        <v>24</v>
      </c>
      <c r="F431" s="278"/>
      <c r="G431" s="120"/>
      <c r="H431" s="13"/>
      <c r="I431" s="261">
        <f>81</f>
        <v>81</v>
      </c>
      <c r="J431" s="261"/>
      <c r="K431" s="261"/>
      <c r="L431" s="261">
        <f>26+2</f>
        <v>28</v>
      </c>
      <c r="M431" s="261">
        <f>6</f>
        <v>6</v>
      </c>
      <c r="N431" s="267">
        <f t="shared" si="105"/>
        <v>0</v>
      </c>
      <c r="O431" s="120"/>
      <c r="P431" s="96">
        <f t="shared" si="98"/>
        <v>109</v>
      </c>
      <c r="Q431" s="97">
        <f t="shared" si="106"/>
        <v>109</v>
      </c>
      <c r="R431" s="261"/>
      <c r="S431" s="278"/>
      <c r="T431" s="278"/>
      <c r="U431" s="278"/>
      <c r="V431" s="278"/>
      <c r="W431" s="278"/>
      <c r="X431" s="278"/>
      <c r="Y431" s="278"/>
      <c r="Z431" s="120"/>
      <c r="AA431" s="96"/>
      <c r="AB431" s="97"/>
      <c r="AC431" s="22"/>
      <c r="AD431" s="278"/>
      <c r="AE431" s="278"/>
      <c r="AF431" s="278"/>
      <c r="AG431" s="278"/>
      <c r="AH431" s="278"/>
      <c r="AI431" s="120"/>
      <c r="AJ431" s="96"/>
      <c r="AK431" s="97"/>
      <c r="AL431" s="22"/>
      <c r="AM431" s="41"/>
      <c r="AN431" s="41"/>
      <c r="AO431" s="41"/>
      <c r="AP431" s="41"/>
      <c r="AQ431" s="41"/>
      <c r="AR431" s="41"/>
      <c r="AS431" s="41"/>
      <c r="AT431" s="95"/>
      <c r="AU431" s="96"/>
      <c r="AV431" s="97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spans="1:67" x14ac:dyDescent="0.25">
      <c r="A432" s="11" t="s">
        <v>774</v>
      </c>
      <c r="B432" s="60" t="s">
        <v>85</v>
      </c>
      <c r="C432" s="62">
        <v>2012</v>
      </c>
      <c r="D432" s="1">
        <f t="shared" si="97"/>
        <v>51</v>
      </c>
      <c r="E432" s="283">
        <f>0</f>
        <v>0</v>
      </c>
      <c r="I432" s="261">
        <f>30</f>
        <v>30</v>
      </c>
      <c r="J432" s="246">
        <f>0+12</f>
        <v>12</v>
      </c>
      <c r="N432" s="267">
        <f t="shared" si="105"/>
        <v>9</v>
      </c>
      <c r="P432" s="96">
        <f t="shared" si="98"/>
        <v>51</v>
      </c>
      <c r="Q432" s="97">
        <f t="shared" si="106"/>
        <v>51</v>
      </c>
      <c r="S432" s="287"/>
      <c r="T432" s="287"/>
      <c r="U432" s="287"/>
      <c r="V432" s="287"/>
      <c r="W432" s="287">
        <f>15+9+3</f>
        <v>27</v>
      </c>
      <c r="X432" s="287">
        <f>0</f>
        <v>0</v>
      </c>
      <c r="Y432" s="287">
        <f>AK432</f>
        <v>0</v>
      </c>
      <c r="Z432" s="152"/>
      <c r="AA432" s="96">
        <f>S432+T432+U432+V432+W432+X432+Y432</f>
        <v>27</v>
      </c>
      <c r="AB432" s="97">
        <f>IF(C432=2012, AA432/3,AA432)+Z432</f>
        <v>9</v>
      </c>
      <c r="AC432" s="290"/>
      <c r="AD432" s="290"/>
      <c r="AE432" s="287"/>
      <c r="AF432" s="287"/>
      <c r="AG432" s="287"/>
      <c r="AH432" s="287"/>
      <c r="AI432" s="120"/>
      <c r="AJ432" s="96">
        <f>SUM(AD432:AH432)</f>
        <v>0</v>
      </c>
      <c r="AK432" s="97">
        <f>IF(C432=2011, AJ432/3,AJ432)+AI432</f>
        <v>0</v>
      </c>
      <c r="AL432" s="22"/>
      <c r="AM432" s="287"/>
      <c r="AN432" s="287"/>
      <c r="AO432" s="287"/>
      <c r="AP432" s="287"/>
      <c r="AQ432" s="287"/>
      <c r="AR432" s="287"/>
      <c r="AS432" s="285"/>
      <c r="AT432" s="95"/>
      <c r="AU432" s="96"/>
      <c r="AV432" s="97"/>
    </row>
    <row r="433" spans="1:48" x14ac:dyDescent="0.25">
      <c r="A433" s="11" t="s">
        <v>880</v>
      </c>
      <c r="B433" s="60" t="s">
        <v>404</v>
      </c>
      <c r="C433" s="62">
        <v>2012</v>
      </c>
      <c r="D433" s="1">
        <f t="shared" si="97"/>
        <v>24.333333333333332</v>
      </c>
      <c r="N433" s="267">
        <f t="shared" si="105"/>
        <v>24.333333333333332</v>
      </c>
      <c r="P433" s="96">
        <f t="shared" si="98"/>
        <v>24.333333333333332</v>
      </c>
      <c r="Q433" s="97">
        <f t="shared" si="106"/>
        <v>24.333333333333332</v>
      </c>
      <c r="S433" s="287">
        <f>0</f>
        <v>0</v>
      </c>
      <c r="T433" s="287">
        <f>16</f>
        <v>16</v>
      </c>
      <c r="U433" s="287"/>
      <c r="V433" s="287">
        <f>43+14</f>
        <v>57</v>
      </c>
      <c r="W433" s="287"/>
      <c r="X433" s="287"/>
      <c r="Y433" s="287">
        <f>AK433</f>
        <v>0</v>
      </c>
      <c r="Z433" s="152"/>
      <c r="AA433" s="96">
        <f>S433+T433+U433+V433+W433+X433+Y433</f>
        <v>73</v>
      </c>
      <c r="AB433" s="97">
        <f>IF(C433=2012, AA433/3,AA433)+Z433</f>
        <v>24.333333333333332</v>
      </c>
      <c r="AE433" s="287"/>
      <c r="AF433" s="287"/>
      <c r="AG433" s="287"/>
      <c r="AH433" s="287"/>
      <c r="AI433" s="120"/>
      <c r="AJ433" s="96">
        <f>SUM(AD433:AH433)</f>
        <v>0</v>
      </c>
      <c r="AK433" s="97">
        <f>IF(C433=2011, AJ433/3,AJ433)+AI433</f>
        <v>0</v>
      </c>
      <c r="AL433" s="22"/>
      <c r="AM433" s="287"/>
      <c r="AN433" s="287"/>
      <c r="AO433" s="287"/>
      <c r="AP433" s="287"/>
      <c r="AQ433" s="287"/>
      <c r="AR433" s="287"/>
      <c r="AS433" s="285"/>
      <c r="AT433" s="95"/>
      <c r="AU433" s="96"/>
      <c r="AV433" s="97"/>
    </row>
    <row r="434" spans="1:48" x14ac:dyDescent="0.25">
      <c r="A434" s="11" t="s">
        <v>39</v>
      </c>
      <c r="B434" s="11" t="s">
        <v>36</v>
      </c>
      <c r="C434" s="3">
        <v>2010</v>
      </c>
      <c r="D434" s="1">
        <f t="shared" si="97"/>
        <v>37</v>
      </c>
      <c r="M434" s="228"/>
      <c r="N434" s="267">
        <f t="shared" si="105"/>
        <v>37</v>
      </c>
      <c r="P434" s="96">
        <f t="shared" si="98"/>
        <v>37</v>
      </c>
      <c r="Q434" s="97">
        <f t="shared" si="106"/>
        <v>37</v>
      </c>
      <c r="R434" s="228"/>
      <c r="S434" s="287"/>
      <c r="T434" s="287"/>
      <c r="U434" s="287"/>
      <c r="V434" s="287"/>
      <c r="W434" s="287"/>
      <c r="X434" s="287"/>
      <c r="Y434" s="287">
        <f>AK434</f>
        <v>37</v>
      </c>
      <c r="Z434" s="120"/>
      <c r="AA434" s="96">
        <f>S434+T434+U434+V434+W434+X434+Y434</f>
        <v>37</v>
      </c>
      <c r="AB434" s="97">
        <f>IF(C434=2012, AA434/3,AA434)+Z434</f>
        <v>37</v>
      </c>
      <c r="AC434" s="22"/>
      <c r="AD434" s="287"/>
      <c r="AE434" s="287"/>
      <c r="AF434" s="287"/>
      <c r="AG434" s="287"/>
      <c r="AH434" s="287">
        <f>AV434</f>
        <v>37</v>
      </c>
      <c r="AI434" s="120"/>
      <c r="AJ434" s="96">
        <f>SUM(AD434:AH434)</f>
        <v>37</v>
      </c>
      <c r="AK434" s="97">
        <f>IF(C434=2011, AJ434/3,AJ434)+AI434</f>
        <v>37</v>
      </c>
      <c r="AL434" s="22"/>
      <c r="AM434" s="287">
        <f>8</f>
        <v>8</v>
      </c>
      <c r="AN434" s="287"/>
      <c r="AO434" s="287">
        <f>24+12</f>
        <v>36</v>
      </c>
      <c r="AP434" s="287">
        <f>52+15</f>
        <v>67</v>
      </c>
      <c r="AQ434" s="287"/>
      <c r="AR434" s="287"/>
      <c r="AS434" s="285"/>
      <c r="AT434" s="95"/>
      <c r="AU434" s="96">
        <f>SUM(AM434:AS434)</f>
        <v>111</v>
      </c>
      <c r="AV434" s="97">
        <f>IF(C434=2010, AU434/3,AU434)+AT434</f>
        <v>37</v>
      </c>
    </row>
    <row r="435" spans="1:48" x14ac:dyDescent="0.25">
      <c r="A435" s="11" t="s">
        <v>1095</v>
      </c>
      <c r="B435" s="60" t="s">
        <v>0</v>
      </c>
      <c r="C435" s="62">
        <v>2013</v>
      </c>
      <c r="D435" s="1">
        <f t="shared" si="97"/>
        <v>41.666666666666671</v>
      </c>
      <c r="E435" s="283">
        <f>11</f>
        <v>11</v>
      </c>
      <c r="I435" s="261">
        <f>27</f>
        <v>27</v>
      </c>
      <c r="J435" s="261">
        <f>9</f>
        <v>9</v>
      </c>
      <c r="K435" s="261">
        <f>28</f>
        <v>28</v>
      </c>
      <c r="L435" s="261">
        <f>28</f>
        <v>28</v>
      </c>
      <c r="M435" s="261"/>
      <c r="N435" s="267">
        <f t="shared" si="105"/>
        <v>0</v>
      </c>
      <c r="P435" s="96">
        <f t="shared" si="98"/>
        <v>92</v>
      </c>
      <c r="Q435" s="97">
        <f t="shared" si="106"/>
        <v>30.666666666666668</v>
      </c>
      <c r="R435" s="261"/>
      <c r="S435" s="287"/>
      <c r="T435" s="287"/>
      <c r="U435" s="287"/>
      <c r="V435" s="287"/>
      <c r="W435" s="287"/>
      <c r="X435" s="287"/>
      <c r="Y435" s="287"/>
      <c r="Z435" s="152"/>
      <c r="AA435" s="96"/>
      <c r="AB435" s="97"/>
      <c r="AE435" s="287"/>
      <c r="AF435" s="287"/>
      <c r="AG435" s="287"/>
      <c r="AH435" s="287"/>
      <c r="AI435" s="120"/>
      <c r="AJ435" s="96"/>
      <c r="AK435" s="97"/>
      <c r="AL435" s="22"/>
      <c r="AM435" s="287"/>
      <c r="AN435" s="287"/>
      <c r="AO435" s="287"/>
      <c r="AP435" s="287"/>
      <c r="AQ435" s="287"/>
      <c r="AR435" s="287"/>
      <c r="AS435" s="285"/>
      <c r="AT435" s="95"/>
      <c r="AU435" s="96"/>
      <c r="AV435" s="97"/>
    </row>
    <row r="436" spans="1:48" x14ac:dyDescent="0.25">
      <c r="A436" s="11" t="s">
        <v>415</v>
      </c>
      <c r="B436" s="11" t="s">
        <v>63</v>
      </c>
      <c r="C436" s="3">
        <v>2010</v>
      </c>
      <c r="D436" s="1">
        <f t="shared" si="97"/>
        <v>142.66666666666669</v>
      </c>
      <c r="N436" s="267">
        <f t="shared" si="105"/>
        <v>142.66666666666669</v>
      </c>
      <c r="P436" s="96">
        <f t="shared" si="98"/>
        <v>142.66666666666669</v>
      </c>
      <c r="Q436" s="97">
        <f t="shared" si="106"/>
        <v>142.66666666666669</v>
      </c>
      <c r="S436" s="287"/>
      <c r="T436" s="287"/>
      <c r="U436" s="287"/>
      <c r="V436" s="287"/>
      <c r="W436" s="287">
        <f>24+3+6</f>
        <v>33</v>
      </c>
      <c r="X436" s="287">
        <f>0+9</f>
        <v>9</v>
      </c>
      <c r="Y436" s="287">
        <f>AK436</f>
        <v>100.66666666666667</v>
      </c>
      <c r="Z436" s="120"/>
      <c r="AA436" s="96">
        <f>S436+T436+U436+V436+W436+X436+Y436</f>
        <v>142.66666666666669</v>
      </c>
      <c r="AB436" s="97">
        <f>IF(C436=2012, AA436/3,AA436)+Z436</f>
        <v>142.66666666666669</v>
      </c>
      <c r="AC436" s="22"/>
      <c r="AD436" s="287">
        <f>24+4</f>
        <v>28</v>
      </c>
      <c r="AE436" s="287">
        <f>11+12</f>
        <v>23</v>
      </c>
      <c r="AF436" s="287">
        <f>22+12</f>
        <v>34</v>
      </c>
      <c r="AG436" s="287">
        <f>10</f>
        <v>10</v>
      </c>
      <c r="AH436" s="287">
        <f>AV436</f>
        <v>5.666666666666667</v>
      </c>
      <c r="AI436" s="120"/>
      <c r="AJ436" s="96">
        <f>SUM(AD436:AH436)</f>
        <v>100.66666666666667</v>
      </c>
      <c r="AK436" s="97">
        <f>IF(C436=2011, AJ436/3,AJ436)+AI436</f>
        <v>100.66666666666667</v>
      </c>
      <c r="AL436" s="22"/>
      <c r="AM436" s="287"/>
      <c r="AN436" s="287"/>
      <c r="AO436" s="287"/>
      <c r="AP436" s="287"/>
      <c r="AQ436" s="287">
        <f>0</f>
        <v>0</v>
      </c>
      <c r="AR436" s="287">
        <f>17</f>
        <v>17</v>
      </c>
      <c r="AS436" s="285"/>
      <c r="AT436" s="95"/>
      <c r="AU436" s="96">
        <f>SUM(AM436:AS436)</f>
        <v>17</v>
      </c>
      <c r="AV436" s="97">
        <f>IF(C436=2010, AU436/3,AU436)+AT436</f>
        <v>5.666666666666667</v>
      </c>
    </row>
    <row r="437" spans="1:48" x14ac:dyDescent="0.25">
      <c r="A437" s="53" t="s">
        <v>908</v>
      </c>
      <c r="B437" s="84" t="s">
        <v>64</v>
      </c>
      <c r="C437" s="54"/>
      <c r="D437" s="1">
        <f t="shared" si="97"/>
        <v>6</v>
      </c>
      <c r="K437" s="241">
        <f>0</f>
        <v>0</v>
      </c>
      <c r="N437" s="267">
        <f t="shared" si="105"/>
        <v>6</v>
      </c>
      <c r="P437" s="96">
        <f t="shared" si="98"/>
        <v>6</v>
      </c>
      <c r="Q437" s="97">
        <f t="shared" si="106"/>
        <v>6</v>
      </c>
      <c r="S437" s="278"/>
      <c r="T437" s="278"/>
      <c r="U437" s="278"/>
      <c r="V437" s="278">
        <f>0+3+3</f>
        <v>6</v>
      </c>
      <c r="W437" s="278"/>
      <c r="X437" s="278"/>
      <c r="Y437" s="278">
        <f>AK437</f>
        <v>0</v>
      </c>
      <c r="Z437" s="120"/>
      <c r="AA437" s="96">
        <f>S437+T437+U437+V437+W437+X437+Y437</f>
        <v>6</v>
      </c>
      <c r="AB437" s="97">
        <f>IF(C437=2012, AA437/3,AA437)+Z437</f>
        <v>6</v>
      </c>
      <c r="AC437" s="22"/>
      <c r="AD437" s="278"/>
      <c r="AE437" s="278"/>
      <c r="AF437" s="278"/>
      <c r="AG437" s="278"/>
      <c r="AH437" s="278"/>
      <c r="AI437" s="120"/>
      <c r="AJ437" s="96">
        <f>SUM(AD437:AH437)</f>
        <v>0</v>
      </c>
      <c r="AK437" s="97">
        <f>IF(C437=2011, AJ437/3,AJ437)+AI437</f>
        <v>0</v>
      </c>
      <c r="AL437" s="22"/>
      <c r="AM437" s="41"/>
      <c r="AN437" s="41"/>
      <c r="AO437" s="41"/>
      <c r="AP437" s="41"/>
      <c r="AQ437" s="41"/>
      <c r="AR437" s="41"/>
      <c r="AS437" s="41"/>
      <c r="AT437" s="95"/>
      <c r="AU437" s="96"/>
      <c r="AV437" s="97"/>
    </row>
    <row r="438" spans="1:48" x14ac:dyDescent="0.25">
      <c r="A438" s="71" t="s">
        <v>236</v>
      </c>
      <c r="B438" s="71" t="s">
        <v>1336</v>
      </c>
      <c r="C438" s="3">
        <v>2012</v>
      </c>
      <c r="D438" s="1">
        <f t="shared" si="97"/>
        <v>173</v>
      </c>
      <c r="F438" s="278">
        <f>9</f>
        <v>9</v>
      </c>
      <c r="I438" s="261">
        <f>30</f>
        <v>30</v>
      </c>
      <c r="L438" s="241">
        <f>6</f>
        <v>6</v>
      </c>
      <c r="M438" s="241">
        <f>30+6</f>
        <v>36</v>
      </c>
      <c r="N438" s="267">
        <f t="shared" si="105"/>
        <v>98</v>
      </c>
      <c r="O438" s="120">
        <f>39</f>
        <v>39</v>
      </c>
      <c r="P438" s="96">
        <f t="shared" si="98"/>
        <v>134</v>
      </c>
      <c r="Q438" s="97">
        <f t="shared" si="106"/>
        <v>173</v>
      </c>
      <c r="R438" s="241"/>
      <c r="S438" s="278"/>
      <c r="T438" s="278"/>
      <c r="U438" s="278"/>
      <c r="V438" s="278"/>
      <c r="W438" s="278"/>
      <c r="X438" s="278">
        <f>38</f>
        <v>38</v>
      </c>
      <c r="Y438" s="278">
        <f>AK438</f>
        <v>256</v>
      </c>
      <c r="Z438" s="120"/>
      <c r="AA438" s="96">
        <f>S438+T438+U438+V438+W438+X438+Y438</f>
        <v>294</v>
      </c>
      <c r="AB438" s="97">
        <f>IF(C438=2012, AA438/3,AA438)+Z438</f>
        <v>98</v>
      </c>
      <c r="AC438" s="290"/>
      <c r="AD438" s="290"/>
      <c r="AE438" s="278"/>
      <c r="AF438" s="278">
        <f>42</f>
        <v>42</v>
      </c>
      <c r="AG438" s="278">
        <f>50</f>
        <v>50</v>
      </c>
      <c r="AH438" s="278">
        <f>AV438</f>
        <v>164</v>
      </c>
      <c r="AI438" s="120"/>
      <c r="AJ438" s="96">
        <f>SUM(AD438:AH438)</f>
        <v>256</v>
      </c>
      <c r="AK438" s="97">
        <f>IF(C438=2011, AJ438/3,AJ438)+AI438</f>
        <v>256</v>
      </c>
      <c r="AL438" s="22"/>
      <c r="AM438" s="41"/>
      <c r="AN438" s="41"/>
      <c r="AO438" s="41">
        <f>69</f>
        <v>69</v>
      </c>
      <c r="AP438" s="41">
        <f>57</f>
        <v>57</v>
      </c>
      <c r="AQ438" s="41"/>
      <c r="AR438" s="41">
        <f>24</f>
        <v>24</v>
      </c>
      <c r="AS438" s="13">
        <f>14</f>
        <v>14</v>
      </c>
      <c r="AT438" s="95"/>
      <c r="AU438" s="96">
        <f>SUM(AM438:AS438)</f>
        <v>164</v>
      </c>
      <c r="AV438" s="97">
        <f>IF(C438=2015, AU438/3,AU438)+AT438</f>
        <v>164</v>
      </c>
    </row>
    <row r="439" spans="1:48" x14ac:dyDescent="0.25">
      <c r="A439" s="11" t="s">
        <v>466</v>
      </c>
      <c r="B439" s="60" t="s">
        <v>231</v>
      </c>
      <c r="C439" s="62">
        <v>2010</v>
      </c>
      <c r="D439" s="1">
        <f t="shared" si="97"/>
        <v>25</v>
      </c>
      <c r="I439" s="287"/>
      <c r="J439" s="287"/>
      <c r="K439" s="287"/>
      <c r="L439" s="287"/>
      <c r="M439" s="287"/>
      <c r="N439" s="267">
        <f t="shared" si="105"/>
        <v>25</v>
      </c>
      <c r="P439" s="96">
        <f t="shared" si="98"/>
        <v>25</v>
      </c>
      <c r="Q439" s="97">
        <f t="shared" si="106"/>
        <v>25</v>
      </c>
      <c r="R439" s="287"/>
      <c r="S439" s="287"/>
      <c r="T439" s="287"/>
      <c r="U439" s="287"/>
      <c r="V439" s="287"/>
      <c r="W439" s="287"/>
      <c r="X439" s="287"/>
      <c r="Y439" s="278">
        <f>AK439</f>
        <v>25</v>
      </c>
      <c r="Z439" s="120"/>
      <c r="AA439" s="96">
        <f>S439+T439+U439+V439+W439+X439+Y439</f>
        <v>25</v>
      </c>
      <c r="AB439" s="97">
        <f>IF(C439=2012, AA439/3,AA439)+Z439</f>
        <v>25</v>
      </c>
      <c r="AC439" s="22"/>
      <c r="AD439" s="287"/>
      <c r="AE439" s="287"/>
      <c r="AF439" s="287"/>
      <c r="AG439" s="287">
        <f>10</f>
        <v>10</v>
      </c>
      <c r="AH439" s="287">
        <f>AV439</f>
        <v>15</v>
      </c>
      <c r="AI439" s="120"/>
      <c r="AJ439" s="96">
        <f>SUM(AD439:AH439)</f>
        <v>25</v>
      </c>
      <c r="AK439" s="97">
        <f>IF(C439=2011, AJ439/3,AJ439)+AI439</f>
        <v>25</v>
      </c>
      <c r="AL439" s="22"/>
      <c r="AM439" s="41"/>
      <c r="AN439" s="41"/>
      <c r="AO439" s="41"/>
      <c r="AP439" s="41"/>
      <c r="AQ439" s="41"/>
      <c r="AR439" s="41">
        <f>45</f>
        <v>45</v>
      </c>
      <c r="AT439" s="95"/>
      <c r="AU439" s="96">
        <f>SUM(AM439:AS439)</f>
        <v>45</v>
      </c>
      <c r="AV439" s="97">
        <f>IF(C439=2010, AU439/3,AU439)+AT439</f>
        <v>15</v>
      </c>
    </row>
    <row r="440" spans="1:48" x14ac:dyDescent="0.25">
      <c r="A440" s="11" t="s">
        <v>866</v>
      </c>
      <c r="B440" s="60" t="s">
        <v>476</v>
      </c>
      <c r="C440" s="62">
        <v>2012</v>
      </c>
      <c r="D440" s="1">
        <f t="shared" si="97"/>
        <v>0.33333333333333331</v>
      </c>
      <c r="I440" s="287"/>
      <c r="J440" s="287"/>
      <c r="K440" s="287"/>
      <c r="L440" s="287"/>
      <c r="M440" s="287"/>
      <c r="N440" s="267">
        <f t="shared" si="105"/>
        <v>0.33333333333333331</v>
      </c>
      <c r="P440" s="96">
        <f t="shared" si="98"/>
        <v>0.33333333333333331</v>
      </c>
      <c r="Q440" s="97">
        <f t="shared" si="106"/>
        <v>0.33333333333333331</v>
      </c>
      <c r="R440" s="287"/>
      <c r="S440" s="287"/>
      <c r="T440" s="287"/>
      <c r="U440" s="287"/>
      <c r="V440" s="287"/>
      <c r="W440" s="287">
        <f>1</f>
        <v>1</v>
      </c>
      <c r="X440" s="287"/>
      <c r="Y440" s="278">
        <f>AK440</f>
        <v>0</v>
      </c>
      <c r="Z440" s="152"/>
      <c r="AA440" s="96">
        <f>S440+T440+U440+V440+W440+X440+Y440</f>
        <v>1</v>
      </c>
      <c r="AB440" s="97">
        <f>IF(C440=2012, AA440/3,AA440)+Z440</f>
        <v>0.33333333333333331</v>
      </c>
      <c r="AE440" s="287"/>
      <c r="AF440" s="287"/>
      <c r="AG440" s="287"/>
      <c r="AH440" s="287"/>
      <c r="AI440" s="120"/>
      <c r="AJ440" s="96">
        <f>SUM(AD440:AH440)</f>
        <v>0</v>
      </c>
      <c r="AK440" s="97">
        <f>IF(C440=2011, AJ440/3,AJ440)+AI440</f>
        <v>0</v>
      </c>
      <c r="AL440" s="22"/>
      <c r="AM440" s="287"/>
      <c r="AN440" s="287"/>
      <c r="AO440" s="287"/>
      <c r="AP440" s="287"/>
      <c r="AQ440" s="287"/>
      <c r="AR440" s="287"/>
      <c r="AS440" s="285"/>
      <c r="AT440" s="95"/>
      <c r="AU440" s="96"/>
      <c r="AV440" s="97"/>
    </row>
    <row r="441" spans="1:48" x14ac:dyDescent="0.25">
      <c r="A441" s="11" t="s">
        <v>1199</v>
      </c>
      <c r="B441" s="87" t="s">
        <v>87</v>
      </c>
      <c r="C441" s="3">
        <v>2010</v>
      </c>
      <c r="D441" s="1">
        <f t="shared" si="97"/>
        <v>21</v>
      </c>
      <c r="I441" s="287"/>
      <c r="J441" s="287"/>
      <c r="K441" s="287"/>
      <c r="L441" s="287">
        <f>0</f>
        <v>0</v>
      </c>
      <c r="M441" s="287"/>
      <c r="N441" s="267">
        <f t="shared" si="105"/>
        <v>0</v>
      </c>
      <c r="O441" s="120">
        <f>21</f>
        <v>21</v>
      </c>
      <c r="P441" s="96">
        <f t="shared" si="98"/>
        <v>0</v>
      </c>
      <c r="Q441" s="97">
        <f t="shared" si="106"/>
        <v>21</v>
      </c>
      <c r="R441" s="287"/>
    </row>
    <row r="442" spans="1:48" x14ac:dyDescent="0.25">
      <c r="A442" s="11" t="s">
        <v>1124</v>
      </c>
      <c r="B442" s="11" t="s">
        <v>1088</v>
      </c>
      <c r="C442" s="3">
        <v>2013</v>
      </c>
      <c r="D442" s="1">
        <f t="shared" si="97"/>
        <v>0</v>
      </c>
      <c r="L442" s="228">
        <f>0</f>
        <v>0</v>
      </c>
      <c r="N442" s="267">
        <f t="shared" si="105"/>
        <v>0</v>
      </c>
      <c r="P442" s="96">
        <f t="shared" si="98"/>
        <v>0</v>
      </c>
      <c r="Q442" s="97">
        <f t="shared" si="106"/>
        <v>0</v>
      </c>
      <c r="S442" s="278"/>
      <c r="T442" s="278"/>
      <c r="U442" s="278"/>
      <c r="V442" s="278"/>
      <c r="W442" s="278"/>
      <c r="X442" s="278"/>
      <c r="Y442" s="278"/>
      <c r="Z442" s="287"/>
      <c r="AE442" s="278"/>
      <c r="AF442" s="278"/>
      <c r="AG442" s="278"/>
      <c r="AH442" s="278"/>
      <c r="AI442" s="287"/>
      <c r="AL442" s="285"/>
      <c r="AM442" s="287"/>
      <c r="AN442" s="287"/>
      <c r="AO442" s="287"/>
      <c r="AP442" s="287"/>
      <c r="AQ442" s="287"/>
      <c r="AR442" s="287"/>
      <c r="AS442" s="285"/>
    </row>
    <row r="443" spans="1:48" x14ac:dyDescent="0.25">
      <c r="A443" s="11" t="s">
        <v>797</v>
      </c>
      <c r="B443" s="60" t="s">
        <v>583</v>
      </c>
      <c r="C443" s="62">
        <v>2013</v>
      </c>
      <c r="D443" s="1">
        <f t="shared" si="97"/>
        <v>2</v>
      </c>
      <c r="N443" s="267">
        <f t="shared" si="105"/>
        <v>6</v>
      </c>
      <c r="P443" s="96">
        <f t="shared" si="98"/>
        <v>6</v>
      </c>
      <c r="Q443" s="97">
        <f t="shared" si="106"/>
        <v>2</v>
      </c>
      <c r="S443" s="278"/>
      <c r="T443" s="278"/>
      <c r="U443" s="278"/>
      <c r="V443" s="278"/>
      <c r="W443" s="278"/>
      <c r="X443" s="278">
        <f>3</f>
        <v>3</v>
      </c>
      <c r="Y443" s="278">
        <f t="shared" ref="Y443:Y451" si="107">AK443</f>
        <v>3</v>
      </c>
      <c r="Z443" s="152"/>
      <c r="AA443" s="96">
        <f>AM443+S443+T443+U443+V443+W443+X443+Y443</f>
        <v>6</v>
      </c>
      <c r="AB443" s="97">
        <f>IF(C443=2017, AA443/3,AA443)+Z443</f>
        <v>6</v>
      </c>
      <c r="AC443" s="290"/>
      <c r="AD443" s="290"/>
      <c r="AE443" s="278"/>
      <c r="AF443" s="278"/>
      <c r="AG443" s="278">
        <f>0</f>
        <v>0</v>
      </c>
      <c r="AH443" s="278"/>
      <c r="AI443" s="120">
        <f>3</f>
        <v>3</v>
      </c>
      <c r="AJ443" s="96">
        <f>SUM(AE443:AH443)</f>
        <v>0</v>
      </c>
      <c r="AK443" s="97">
        <f>IF(C443=2016, AJ443/3,AJ443)+AI443</f>
        <v>3</v>
      </c>
      <c r="AL443" s="22"/>
      <c r="AM443" s="151"/>
      <c r="AN443" s="151"/>
      <c r="AO443" s="151"/>
      <c r="AP443" s="151"/>
      <c r="AQ443" s="151"/>
      <c r="AR443" s="151"/>
      <c r="AT443" s="95"/>
      <c r="AU443" s="96">
        <f>SUM(AM443:AS443)</f>
        <v>0</v>
      </c>
      <c r="AV443" s="97">
        <f>IF(C443=2015, AU443/3,AU443)+AT443</f>
        <v>0</v>
      </c>
    </row>
    <row r="444" spans="1:48" x14ac:dyDescent="0.25">
      <c r="A444" s="11" t="s">
        <v>470</v>
      </c>
      <c r="B444" s="11" t="s">
        <v>36</v>
      </c>
      <c r="C444" s="62">
        <v>2013</v>
      </c>
      <c r="D444" s="1">
        <f t="shared" si="97"/>
        <v>10.666666666666666</v>
      </c>
      <c r="L444" s="241"/>
      <c r="M444" s="241"/>
      <c r="N444" s="267">
        <f t="shared" si="105"/>
        <v>32</v>
      </c>
      <c r="P444" s="96">
        <f t="shared" si="98"/>
        <v>32</v>
      </c>
      <c r="Q444" s="97">
        <f t="shared" si="106"/>
        <v>10.666666666666666</v>
      </c>
      <c r="R444" s="241"/>
      <c r="S444" s="278"/>
      <c r="T444" s="278"/>
      <c r="U444" s="278"/>
      <c r="V444" s="278"/>
      <c r="W444" s="278"/>
      <c r="X444" s="278"/>
      <c r="Y444" s="278">
        <f t="shared" si="107"/>
        <v>32</v>
      </c>
      <c r="Z444" s="120"/>
      <c r="AA444" s="96">
        <f>AM444+S444+T444+U444+V444+W444+X444+Y444</f>
        <v>32</v>
      </c>
      <c r="AB444" s="97">
        <f>IF(C444=2017, AA444/3,AA444)+Z444</f>
        <v>32</v>
      </c>
      <c r="AC444" s="290"/>
      <c r="AD444" s="290"/>
      <c r="AE444" s="278"/>
      <c r="AF444" s="278"/>
      <c r="AG444" s="278"/>
      <c r="AH444" s="278">
        <f>AV444</f>
        <v>32</v>
      </c>
      <c r="AI444" s="120"/>
      <c r="AJ444" s="96">
        <f>SUM(AE444:AH444)</f>
        <v>32</v>
      </c>
      <c r="AK444" s="97">
        <f>IF(C444=2016, AJ444/3,AJ444)+AI444</f>
        <v>32</v>
      </c>
      <c r="AL444" s="22"/>
      <c r="AM444" s="41"/>
      <c r="AN444" s="41"/>
      <c r="AO444" s="41"/>
      <c r="AP444" s="41"/>
      <c r="AQ444" s="41"/>
      <c r="AR444" s="41">
        <f>32</f>
        <v>32</v>
      </c>
      <c r="AT444" s="95"/>
      <c r="AU444" s="96">
        <f>SUM(AM444:AS444)</f>
        <v>32</v>
      </c>
      <c r="AV444" s="97">
        <f>IF(C444=2015, AU444/3,AU444)+AT444</f>
        <v>32</v>
      </c>
    </row>
    <row r="445" spans="1:48" x14ac:dyDescent="0.25">
      <c r="A445" s="11" t="s">
        <v>310</v>
      </c>
      <c r="B445" s="60" t="s">
        <v>6</v>
      </c>
      <c r="C445" s="62">
        <v>2010</v>
      </c>
      <c r="D445" s="1">
        <f t="shared" si="97"/>
        <v>79.666666666666657</v>
      </c>
      <c r="N445" s="267">
        <f t="shared" si="105"/>
        <v>79.666666666666657</v>
      </c>
      <c r="P445" s="96">
        <f t="shared" si="98"/>
        <v>79.666666666666657</v>
      </c>
      <c r="Q445" s="97">
        <f t="shared" si="106"/>
        <v>79.666666666666657</v>
      </c>
      <c r="S445" s="287"/>
      <c r="T445" s="287"/>
      <c r="U445" s="287"/>
      <c r="V445" s="287"/>
      <c r="W445" s="287"/>
      <c r="X445" s="287"/>
      <c r="Y445" s="287">
        <f t="shared" si="107"/>
        <v>79.666666666666657</v>
      </c>
      <c r="Z445" s="120"/>
      <c r="AA445" s="96">
        <f>S445+T445+U445+V445+W445+X445+Y445</f>
        <v>79.666666666666657</v>
      </c>
      <c r="AB445" s="97">
        <f>IF(C445=2012, AA445/3,AA445)+Z445</f>
        <v>79.666666666666657</v>
      </c>
      <c r="AC445" s="22"/>
      <c r="AD445" s="287"/>
      <c r="AE445" s="287"/>
      <c r="AF445" s="287"/>
      <c r="AG445" s="287">
        <f>14+12</f>
        <v>26</v>
      </c>
      <c r="AH445" s="287">
        <f>AV445</f>
        <v>53.666666666666664</v>
      </c>
      <c r="AI445" s="120"/>
      <c r="AJ445" s="96">
        <f>SUM(AD445:AH445)</f>
        <v>79.666666666666657</v>
      </c>
      <c r="AK445" s="97">
        <f>IF(C445=2011, AJ445/3,AJ445)+AI445</f>
        <v>79.666666666666657</v>
      </c>
      <c r="AL445" s="22"/>
      <c r="AM445" s="41"/>
      <c r="AN445" s="41"/>
      <c r="AO445" s="41"/>
      <c r="AP445" s="41">
        <f>16+9</f>
        <v>25</v>
      </c>
      <c r="AQ445" s="41">
        <f>49</f>
        <v>49</v>
      </c>
      <c r="AR445" s="41">
        <f>48+39</f>
        <v>87</v>
      </c>
      <c r="AT445" s="95"/>
      <c r="AU445" s="96">
        <f>SUM(AM445:AS445)</f>
        <v>161</v>
      </c>
      <c r="AV445" s="97">
        <f>IF(C445=2010, AU445/3,AU445)+AT445</f>
        <v>53.666666666666664</v>
      </c>
    </row>
    <row r="446" spans="1:48" x14ac:dyDescent="0.25">
      <c r="A446" s="11" t="s">
        <v>99</v>
      </c>
      <c r="B446" s="60" t="s">
        <v>64</v>
      </c>
      <c r="C446" s="62">
        <v>2013</v>
      </c>
      <c r="D446" s="1">
        <f t="shared" si="97"/>
        <v>4</v>
      </c>
      <c r="N446" s="267">
        <f t="shared" si="105"/>
        <v>12</v>
      </c>
      <c r="P446" s="96">
        <f t="shared" si="98"/>
        <v>12</v>
      </c>
      <c r="Q446" s="97">
        <f t="shared" si="106"/>
        <v>4</v>
      </c>
      <c r="S446" s="278"/>
      <c r="T446" s="278"/>
      <c r="U446" s="278"/>
      <c r="V446" s="278"/>
      <c r="W446" s="278"/>
      <c r="X446" s="278"/>
      <c r="Y446" s="278">
        <f t="shared" si="107"/>
        <v>12</v>
      </c>
      <c r="Z446" s="120"/>
      <c r="AA446" s="96">
        <f>AM446+S446+T446+U446+V446+W446+X446+Y446</f>
        <v>12</v>
      </c>
      <c r="AB446" s="97">
        <f>IF(C446=2017, AA446/3,AA446)+Z446</f>
        <v>12</v>
      </c>
      <c r="AC446" s="290"/>
      <c r="AD446" s="290"/>
      <c r="AE446" s="278"/>
      <c r="AF446" s="278"/>
      <c r="AG446" s="278"/>
      <c r="AH446" s="278">
        <f>AV446</f>
        <v>12</v>
      </c>
      <c r="AI446" s="120"/>
      <c r="AJ446" s="96">
        <f>SUM(AE446:AH446)</f>
        <v>12</v>
      </c>
      <c r="AK446" s="97">
        <f>IF(C446=2016, AJ446/3,AJ446)+AI446</f>
        <v>12</v>
      </c>
      <c r="AL446" s="22"/>
      <c r="AM446" s="287"/>
      <c r="AN446" s="287">
        <v>9</v>
      </c>
      <c r="AO446" s="287">
        <f>3</f>
        <v>3</v>
      </c>
      <c r="AP446" s="287"/>
      <c r="AQ446" s="287"/>
      <c r="AR446" s="287"/>
      <c r="AS446" s="285"/>
      <c r="AT446" s="95"/>
      <c r="AU446" s="96">
        <f>SUM(AM446:AS446)</f>
        <v>12</v>
      </c>
      <c r="AV446" s="97">
        <f>IF(C446=2015, AU446/3,AU446)+AT446</f>
        <v>12</v>
      </c>
    </row>
    <row r="447" spans="1:48" x14ac:dyDescent="0.25">
      <c r="A447" s="11" t="s">
        <v>468</v>
      </c>
      <c r="B447" s="60" t="s">
        <v>6</v>
      </c>
      <c r="C447" s="62">
        <v>2010</v>
      </c>
      <c r="D447" s="1">
        <f t="shared" si="97"/>
        <v>22.333333333333332</v>
      </c>
      <c r="N447" s="267">
        <f t="shared" si="105"/>
        <v>22.333333333333332</v>
      </c>
      <c r="P447" s="96">
        <f t="shared" si="98"/>
        <v>22.333333333333332</v>
      </c>
      <c r="Q447" s="97">
        <f t="shared" si="106"/>
        <v>22.333333333333332</v>
      </c>
      <c r="S447" s="201"/>
      <c r="T447" s="192"/>
      <c r="U447" s="192"/>
      <c r="V447" s="192"/>
      <c r="W447" s="192"/>
      <c r="X447" s="192"/>
      <c r="Y447" s="215">
        <f t="shared" si="107"/>
        <v>22.333333333333332</v>
      </c>
      <c r="Z447" s="120"/>
      <c r="AA447" s="96">
        <f>S447+T447+U447+V447+W447+X447+Y447</f>
        <v>22.333333333333332</v>
      </c>
      <c r="AB447" s="97">
        <f>IF(C447=2012, AA447/3,AA447)+Z447</f>
        <v>22.333333333333332</v>
      </c>
      <c r="AC447" s="22"/>
      <c r="AD447" s="287"/>
      <c r="AE447" s="192"/>
      <c r="AF447" s="192"/>
      <c r="AG447" s="192"/>
      <c r="AH447" s="192">
        <f>AV447</f>
        <v>22.333333333333332</v>
      </c>
      <c r="AI447" s="120"/>
      <c r="AJ447" s="96">
        <f>SUM(AD447:AH447)</f>
        <v>22.333333333333332</v>
      </c>
      <c r="AK447" s="97">
        <f>IF(C447=2011, AJ447/3,AJ447)+AI447</f>
        <v>22.333333333333332</v>
      </c>
      <c r="AL447" s="22"/>
      <c r="AM447" s="228"/>
      <c r="AN447" s="228"/>
      <c r="AO447" s="228"/>
      <c r="AP447" s="228"/>
      <c r="AQ447" s="228"/>
      <c r="AR447" s="228">
        <f>37+30</f>
        <v>67</v>
      </c>
      <c r="AS447" s="36"/>
      <c r="AT447" s="95"/>
      <c r="AU447" s="96">
        <f>SUM(AM447:AS447)</f>
        <v>67</v>
      </c>
      <c r="AV447" s="97">
        <f>IF(C447=2010, AU447/3,AU447)+AT447</f>
        <v>22.333333333333332</v>
      </c>
    </row>
    <row r="448" spans="1:48" x14ac:dyDescent="0.25">
      <c r="A448" s="53" t="s">
        <v>813</v>
      </c>
      <c r="B448" s="84" t="s">
        <v>583</v>
      </c>
      <c r="C448" s="54">
        <v>2011</v>
      </c>
      <c r="D448" s="1">
        <f t="shared" si="97"/>
        <v>3</v>
      </c>
      <c r="N448" s="267">
        <f t="shared" si="105"/>
        <v>3</v>
      </c>
      <c r="P448" s="96">
        <f t="shared" si="98"/>
        <v>3</v>
      </c>
      <c r="Q448" s="97">
        <f t="shared" si="106"/>
        <v>3</v>
      </c>
      <c r="S448" s="201"/>
      <c r="T448" s="192"/>
      <c r="U448" s="192"/>
      <c r="V448" s="192"/>
      <c r="W448" s="192"/>
      <c r="X448" s="192">
        <f>3</f>
        <v>3</v>
      </c>
      <c r="Y448" s="215">
        <f t="shared" si="107"/>
        <v>0</v>
      </c>
      <c r="Z448" s="120"/>
      <c r="AA448" s="96">
        <f>S448+T448+U448+V448+W448+X448+Y448</f>
        <v>3</v>
      </c>
      <c r="AB448" s="97">
        <f>IF(C448=2012, AA448/3,AA448)+Z448</f>
        <v>3</v>
      </c>
      <c r="AC448" s="22"/>
      <c r="AD448" s="192"/>
      <c r="AE448" s="192"/>
      <c r="AF448" s="192"/>
      <c r="AG448" s="192"/>
      <c r="AH448" s="192"/>
      <c r="AI448" s="120"/>
      <c r="AJ448" s="96">
        <f>SUM(AD448:AH448)</f>
        <v>0</v>
      </c>
      <c r="AK448" s="97"/>
      <c r="AL448" s="22"/>
      <c r="AM448" s="41"/>
      <c r="AN448" s="41"/>
      <c r="AO448" s="41"/>
      <c r="AP448" s="41"/>
      <c r="AQ448" s="41"/>
      <c r="AR448" s="41"/>
      <c r="AS448" s="41"/>
      <c r="AT448" s="95"/>
      <c r="AU448" s="96"/>
      <c r="AV448" s="97"/>
    </row>
    <row r="449" spans="1:48" x14ac:dyDescent="0.25">
      <c r="A449" s="11" t="s">
        <v>318</v>
      </c>
      <c r="B449" s="60" t="s">
        <v>86</v>
      </c>
      <c r="C449" s="62">
        <v>2011</v>
      </c>
      <c r="D449" s="1">
        <f t="shared" si="97"/>
        <v>0</v>
      </c>
      <c r="I449" s="108"/>
      <c r="J449" s="108"/>
      <c r="K449" s="108"/>
      <c r="L449" s="108"/>
      <c r="M449" s="108"/>
      <c r="N449" s="278">
        <f t="shared" si="105"/>
        <v>0</v>
      </c>
      <c r="P449" s="96">
        <f t="shared" si="98"/>
        <v>0</v>
      </c>
      <c r="Q449" s="97">
        <f t="shared" si="106"/>
        <v>0</v>
      </c>
      <c r="R449" s="108"/>
      <c r="S449" s="278"/>
      <c r="T449" s="278"/>
      <c r="U449" s="278"/>
      <c r="V449" s="278"/>
      <c r="W449" s="278"/>
      <c r="X449" s="278"/>
      <c r="Y449" s="278">
        <f t="shared" si="107"/>
        <v>0</v>
      </c>
      <c r="Z449" s="120"/>
      <c r="AA449" s="96">
        <f>S449+T449+U449+V449+W449+X449+Y449</f>
        <v>0</v>
      </c>
      <c r="AB449" s="97">
        <f>IF(C449=2012, AA449/3,AA449)+Z449</f>
        <v>0</v>
      </c>
      <c r="AC449" s="287"/>
      <c r="AD449" s="278"/>
      <c r="AE449" s="278"/>
      <c r="AF449" s="278"/>
      <c r="AG449" s="278"/>
      <c r="AH449" s="278">
        <f>AV449</f>
        <v>0</v>
      </c>
      <c r="AI449" s="120"/>
      <c r="AJ449" s="96">
        <f>SUM(AD449:AH449)</f>
        <v>0</v>
      </c>
      <c r="AK449" s="97">
        <f>IF(C449=2011, AJ449/3,AJ449)+AI449</f>
        <v>0</v>
      </c>
      <c r="AL449" s="22"/>
      <c r="AM449" s="287"/>
      <c r="AN449" s="287"/>
      <c r="AO449" s="287"/>
      <c r="AP449" s="287">
        <f>0</f>
        <v>0</v>
      </c>
      <c r="AQ449" s="287"/>
      <c r="AR449" s="287"/>
      <c r="AS449" s="285"/>
      <c r="AT449" s="95"/>
      <c r="AU449" s="96">
        <f>SUM(AM449:AS449)</f>
        <v>0</v>
      </c>
      <c r="AV449" s="97">
        <f>IF(C449=2015, AU449/3,AU449)+AT449</f>
        <v>0</v>
      </c>
    </row>
    <row r="450" spans="1:48" ht="16.5" customHeight="1" x14ac:dyDescent="0.25">
      <c r="A450" s="53" t="s">
        <v>1038</v>
      </c>
      <c r="B450" s="84" t="s">
        <v>86</v>
      </c>
      <c r="C450" s="54">
        <v>2011</v>
      </c>
      <c r="D450" s="1">
        <f t="shared" si="97"/>
        <v>17</v>
      </c>
      <c r="J450" s="261"/>
      <c r="K450" s="261"/>
      <c r="L450" s="261"/>
      <c r="M450" s="261"/>
      <c r="N450" s="267">
        <f t="shared" si="105"/>
        <v>17</v>
      </c>
      <c r="P450" s="96">
        <f t="shared" si="98"/>
        <v>17</v>
      </c>
      <c r="Q450" s="97">
        <f t="shared" si="106"/>
        <v>17</v>
      </c>
      <c r="R450" s="261"/>
      <c r="S450" s="278">
        <f>17</f>
        <v>17</v>
      </c>
      <c r="T450" s="278"/>
      <c r="U450" s="278"/>
      <c r="V450" s="278"/>
      <c r="W450" s="278"/>
      <c r="X450" s="278"/>
      <c r="Y450" s="278">
        <f t="shared" si="107"/>
        <v>0</v>
      </c>
      <c r="Z450" s="120"/>
      <c r="AA450" s="96">
        <f>S450+T450+U450+V450+W450+X450+Y450</f>
        <v>17</v>
      </c>
      <c r="AB450" s="97">
        <f>IF(C450=2012, AA450/3,AA450)+Z450</f>
        <v>17</v>
      </c>
      <c r="AC450" s="22"/>
      <c r="AD450" s="287"/>
      <c r="AE450" s="278"/>
      <c r="AF450" s="278"/>
      <c r="AG450" s="278"/>
      <c r="AH450" s="278"/>
      <c r="AI450" s="120"/>
      <c r="AJ450" s="96">
        <f>SUM(AD450:AH450)</f>
        <v>0</v>
      </c>
      <c r="AK450" s="97">
        <f>IF(C450=2011, AJ450/3,AJ450)+AI450</f>
        <v>0</v>
      </c>
      <c r="AL450" s="22"/>
      <c r="AM450" s="41"/>
      <c r="AN450" s="41"/>
      <c r="AO450" s="41"/>
      <c r="AP450" s="41"/>
      <c r="AQ450" s="41"/>
      <c r="AR450" s="41"/>
      <c r="AS450" s="41"/>
      <c r="AT450" s="95"/>
      <c r="AU450" s="96"/>
      <c r="AV450" s="97"/>
    </row>
    <row r="451" spans="1:48" ht="16.5" customHeight="1" x14ac:dyDescent="0.25">
      <c r="A451" s="53" t="s">
        <v>1055</v>
      </c>
      <c r="B451" s="84" t="s">
        <v>86</v>
      </c>
      <c r="C451" s="54">
        <v>2010</v>
      </c>
      <c r="D451" s="1">
        <f t="shared" si="97"/>
        <v>0</v>
      </c>
      <c r="N451" s="267">
        <f t="shared" si="105"/>
        <v>0</v>
      </c>
      <c r="P451" s="96">
        <f t="shared" si="98"/>
        <v>0</v>
      </c>
      <c r="Q451" s="97">
        <f t="shared" si="106"/>
        <v>0</v>
      </c>
      <c r="S451" s="287">
        <f>0</f>
        <v>0</v>
      </c>
      <c r="T451" s="287"/>
      <c r="U451" s="287"/>
      <c r="V451" s="287"/>
      <c r="W451" s="287"/>
      <c r="X451" s="287"/>
      <c r="Y451" s="287">
        <f t="shared" si="107"/>
        <v>0</v>
      </c>
      <c r="Z451" s="120"/>
      <c r="AA451" s="96">
        <f>S451+T451+U451+V451+W451+X451+Y451</f>
        <v>0</v>
      </c>
      <c r="AB451" s="97">
        <f>IF(C451=2012, AA451/3,AA451)+Z451</f>
        <v>0</v>
      </c>
      <c r="AC451" s="22"/>
      <c r="AD451" s="287"/>
      <c r="AE451" s="287"/>
      <c r="AF451" s="287"/>
      <c r="AG451" s="287"/>
      <c r="AH451" s="287"/>
      <c r="AI451" s="120"/>
      <c r="AJ451" s="96">
        <f>SUM(AD451:AH451)</f>
        <v>0</v>
      </c>
      <c r="AK451" s="97">
        <f>IF(C451=2011, AJ451/3,AJ451)+AI451</f>
        <v>0</v>
      </c>
      <c r="AL451" s="22"/>
      <c r="AM451" s="41"/>
      <c r="AN451" s="41"/>
      <c r="AO451" s="41"/>
      <c r="AP451" s="41"/>
      <c r="AQ451" s="41"/>
      <c r="AR451" s="41"/>
      <c r="AS451" s="41"/>
      <c r="AT451" s="95"/>
      <c r="AU451" s="96"/>
      <c r="AV451" s="97"/>
    </row>
    <row r="452" spans="1:48" ht="16.5" customHeight="1" x14ac:dyDescent="0.25">
      <c r="A452" s="11" t="s">
        <v>1094</v>
      </c>
      <c r="B452" s="11" t="s">
        <v>36</v>
      </c>
      <c r="C452" s="62">
        <v>2013</v>
      </c>
      <c r="D452" s="1">
        <f t="shared" si="97"/>
        <v>75.666666666666657</v>
      </c>
      <c r="E452" s="283">
        <f>11+8</f>
        <v>19</v>
      </c>
      <c r="F452" s="278">
        <f>6+2</f>
        <v>8</v>
      </c>
      <c r="I452" s="261">
        <f>34+28</f>
        <v>62</v>
      </c>
      <c r="J452" s="246">
        <f>29+16</f>
        <v>45</v>
      </c>
      <c r="K452" s="241">
        <f>22+10</f>
        <v>32</v>
      </c>
      <c r="L452" s="228">
        <f>31</f>
        <v>31</v>
      </c>
      <c r="N452" s="267">
        <f t="shared" si="105"/>
        <v>0</v>
      </c>
      <c r="P452" s="96">
        <f>I452+J452+K452+L452+M452+N452</f>
        <v>170</v>
      </c>
      <c r="Q452" s="97">
        <f t="shared" si="106"/>
        <v>56.666666666666664</v>
      </c>
      <c r="S452" s="228"/>
      <c r="T452" s="228"/>
      <c r="U452" s="228"/>
      <c r="V452" s="228"/>
      <c r="W452" s="228"/>
      <c r="X452" s="228"/>
      <c r="Y452" s="228"/>
      <c r="Z452" s="152"/>
      <c r="AA452" s="96"/>
      <c r="AB452" s="97"/>
      <c r="AE452" s="228"/>
      <c r="AF452" s="228"/>
      <c r="AG452" s="228"/>
      <c r="AH452" s="228"/>
      <c r="AI452" s="120"/>
      <c r="AJ452" s="96"/>
      <c r="AK452" s="97"/>
      <c r="AL452" s="22"/>
      <c r="AM452" s="278"/>
      <c r="AN452" s="278"/>
      <c r="AO452" s="278"/>
      <c r="AP452" s="278"/>
      <c r="AQ452" s="278"/>
      <c r="AR452" s="278"/>
      <c r="AS452" s="275"/>
      <c r="AT452" s="95"/>
      <c r="AU452" s="96"/>
      <c r="AV452" s="97"/>
    </row>
    <row r="453" spans="1:48" x14ac:dyDescent="0.25">
      <c r="A453" s="11" t="s">
        <v>991</v>
      </c>
      <c r="B453" s="60" t="s">
        <v>86</v>
      </c>
      <c r="C453" s="62">
        <v>2012</v>
      </c>
      <c r="D453" s="1">
        <f t="shared" si="97"/>
        <v>8.6666666666666661</v>
      </c>
      <c r="N453" s="267">
        <f t="shared" si="105"/>
        <v>8.6666666666666661</v>
      </c>
      <c r="P453" s="96">
        <f t="shared" ref="P453:P470" si="108">I453+J453+K453+L453+N453</f>
        <v>8.6666666666666661</v>
      </c>
      <c r="Q453" s="97">
        <f t="shared" si="106"/>
        <v>8.6666666666666661</v>
      </c>
      <c r="S453" s="228">
        <f>26</f>
        <v>26</v>
      </c>
      <c r="T453" s="228"/>
      <c r="U453" s="228"/>
      <c r="V453" s="228"/>
      <c r="W453" s="228"/>
      <c r="X453" s="228"/>
      <c r="Y453" s="228">
        <f>AK453</f>
        <v>0</v>
      </c>
      <c r="Z453" s="152"/>
      <c r="AA453" s="96">
        <f>S453+T453+U453+V453+W453+X453+Y453</f>
        <v>26</v>
      </c>
      <c r="AB453" s="97">
        <f>IF(C453=2012, AA453/3,AA453)+Z453</f>
        <v>8.6666666666666661</v>
      </c>
      <c r="AE453" s="228"/>
      <c r="AF453" s="228"/>
      <c r="AG453" s="228"/>
      <c r="AH453" s="228"/>
      <c r="AI453" s="120"/>
      <c r="AJ453" s="96">
        <f>SUM(AD453:AH453)</f>
        <v>0</v>
      </c>
      <c r="AK453" s="97">
        <f>IF(C453=2011, AJ453/3,AJ453)+AI453</f>
        <v>0</v>
      </c>
      <c r="AL453" s="22"/>
      <c r="AM453" s="287"/>
      <c r="AN453" s="287"/>
      <c r="AO453" s="287"/>
      <c r="AP453" s="287"/>
      <c r="AQ453" s="287"/>
      <c r="AR453" s="287"/>
      <c r="AS453" s="285"/>
      <c r="AT453" s="95"/>
      <c r="AU453" s="96"/>
      <c r="AV453" s="97"/>
    </row>
    <row r="454" spans="1:48" x14ac:dyDescent="0.25">
      <c r="A454" s="11" t="s">
        <v>685</v>
      </c>
      <c r="B454" s="60" t="s">
        <v>64</v>
      </c>
      <c r="C454" s="62">
        <v>2013</v>
      </c>
      <c r="D454" s="1">
        <f t="shared" si="97"/>
        <v>9.3333333333333339</v>
      </c>
      <c r="J454" s="246">
        <f>0</f>
        <v>0</v>
      </c>
      <c r="K454" s="241">
        <f>0</f>
        <v>0</v>
      </c>
      <c r="M454" s="228"/>
      <c r="N454" s="267">
        <f t="shared" si="105"/>
        <v>28</v>
      </c>
      <c r="P454" s="96">
        <f t="shared" si="108"/>
        <v>28</v>
      </c>
      <c r="Q454" s="97">
        <f t="shared" si="106"/>
        <v>9.3333333333333339</v>
      </c>
      <c r="R454" s="228"/>
      <c r="S454" s="228"/>
      <c r="T454" s="228"/>
      <c r="U454" s="228"/>
      <c r="V454" s="228">
        <f>0+6</f>
        <v>6</v>
      </c>
      <c r="W454" s="228">
        <f>0</f>
        <v>0</v>
      </c>
      <c r="X454" s="228"/>
      <c r="Y454" s="228">
        <f>AK454</f>
        <v>22</v>
      </c>
      <c r="Z454" s="152"/>
      <c r="AA454" s="96">
        <f>AM454+S454+T454+U454+V454+W454+X454+Y454</f>
        <v>28</v>
      </c>
      <c r="AB454" s="97">
        <f>IF(C454=2017, AA454/3,AA454)+Z454</f>
        <v>28</v>
      </c>
      <c r="AC454" s="290"/>
      <c r="AD454" s="290"/>
      <c r="AE454" s="228">
        <f>22</f>
        <v>22</v>
      </c>
      <c r="AF454" s="228"/>
      <c r="AG454" s="228"/>
      <c r="AH454" s="228"/>
      <c r="AI454" s="120"/>
      <c r="AJ454" s="96">
        <f>SUM(AE454:AH454)</f>
        <v>22</v>
      </c>
      <c r="AK454" s="97">
        <f>IF(C454=2016, AJ454/3,AJ454)+AI454</f>
        <v>22</v>
      </c>
      <c r="AL454" s="22"/>
      <c r="AM454" s="278"/>
      <c r="AN454" s="278"/>
      <c r="AO454" s="278"/>
      <c r="AP454" s="278"/>
      <c r="AQ454" s="278"/>
      <c r="AR454" s="278"/>
      <c r="AS454" s="275"/>
      <c r="AT454" s="95"/>
      <c r="AU454" s="96">
        <f>SUM(AM454:AS454)</f>
        <v>0</v>
      </c>
      <c r="AV454" s="97">
        <f>IF(C454=2015, AU454/3,AU454)+AT454</f>
        <v>0</v>
      </c>
    </row>
    <row r="455" spans="1:48" x14ac:dyDescent="0.25">
      <c r="A455" s="11" t="s">
        <v>412</v>
      </c>
      <c r="B455" s="11" t="s">
        <v>272</v>
      </c>
      <c r="C455" s="3">
        <v>2012</v>
      </c>
      <c r="D455" s="1">
        <f t="shared" si="97"/>
        <v>3.3333333333333335</v>
      </c>
      <c r="L455" s="241"/>
      <c r="M455" s="241"/>
      <c r="N455" s="267">
        <f t="shared" si="105"/>
        <v>3.3333333333333335</v>
      </c>
      <c r="P455" s="96">
        <f t="shared" si="108"/>
        <v>3.3333333333333335</v>
      </c>
      <c r="Q455" s="97">
        <f t="shared" si="106"/>
        <v>3.3333333333333335</v>
      </c>
      <c r="R455" s="241"/>
      <c r="S455" s="241"/>
      <c r="T455" s="241"/>
      <c r="U455" s="241"/>
      <c r="V455" s="241"/>
      <c r="W455" s="241"/>
      <c r="X455" s="241"/>
      <c r="Y455" s="241">
        <f>AK455</f>
        <v>10</v>
      </c>
      <c r="Z455" s="120"/>
      <c r="AA455" s="96">
        <f>S455+T455+U455+V455+W455+X455+Y455</f>
        <v>10</v>
      </c>
      <c r="AB455" s="97">
        <f>IF(C455=2012, AA455/3,AA455)+Z455</f>
        <v>3.3333333333333335</v>
      </c>
      <c r="AC455" s="290"/>
      <c r="AD455" s="290"/>
      <c r="AE455" s="241"/>
      <c r="AF455" s="241"/>
      <c r="AG455" s="241"/>
      <c r="AH455" s="241">
        <f>AV455</f>
        <v>10</v>
      </c>
      <c r="AI455" s="120"/>
      <c r="AJ455" s="96">
        <f>SUM(AD455:AH455)</f>
        <v>10</v>
      </c>
      <c r="AK455" s="97">
        <f>IF(C455=2011, AJ455/3,AJ455)+AI455</f>
        <v>10</v>
      </c>
      <c r="AL455" s="22"/>
      <c r="AM455" s="278"/>
      <c r="AN455" s="278"/>
      <c r="AO455" s="278"/>
      <c r="AP455" s="278"/>
      <c r="AQ455" s="278">
        <f>10</f>
        <v>10</v>
      </c>
      <c r="AR455" s="278">
        <f>0</f>
        <v>0</v>
      </c>
      <c r="AS455" s="275"/>
      <c r="AT455" s="95"/>
      <c r="AU455" s="96">
        <f>SUM(AM455:AS455)</f>
        <v>10</v>
      </c>
      <c r="AV455" s="97">
        <f>IF(C455=2015, AU455/3,AU455)+AT455</f>
        <v>10</v>
      </c>
    </row>
    <row r="456" spans="1:48" x14ac:dyDescent="0.25">
      <c r="A456" s="11" t="s">
        <v>398</v>
      </c>
      <c r="B456" s="60" t="s">
        <v>86</v>
      </c>
      <c r="C456" s="62">
        <v>2013</v>
      </c>
      <c r="D456" s="1">
        <f t="shared" si="97"/>
        <v>60.666666666666664</v>
      </c>
      <c r="N456" s="267">
        <f t="shared" si="105"/>
        <v>182</v>
      </c>
      <c r="P456" s="96">
        <f t="shared" si="108"/>
        <v>182</v>
      </c>
      <c r="Q456" s="97">
        <f t="shared" si="106"/>
        <v>60.666666666666664</v>
      </c>
      <c r="S456" s="278">
        <f>31+6</f>
        <v>37</v>
      </c>
      <c r="T456" s="278"/>
      <c r="U456" s="278"/>
      <c r="V456" s="278">
        <f>28</f>
        <v>28</v>
      </c>
      <c r="W456" s="278">
        <f>0</f>
        <v>0</v>
      </c>
      <c r="X456" s="278">
        <f>28</f>
        <v>28</v>
      </c>
      <c r="Y456" s="278">
        <f>AK456</f>
        <v>89</v>
      </c>
      <c r="Z456" s="120"/>
      <c r="AA456" s="96">
        <f>AM456+S456+T456+U456+V456+W456+X456+Y456</f>
        <v>182</v>
      </c>
      <c r="AB456" s="97">
        <f>IF(C456=2017, AA456/3,AA456)+Z456</f>
        <v>182</v>
      </c>
      <c r="AC456" s="290"/>
      <c r="AD456" s="290"/>
      <c r="AE456" s="278">
        <f>22</f>
        <v>22</v>
      </c>
      <c r="AF456" s="278">
        <f>25</f>
        <v>25</v>
      </c>
      <c r="AG456" s="278">
        <f>13</f>
        <v>13</v>
      </c>
      <c r="AH456" s="278">
        <f>AV456</f>
        <v>29</v>
      </c>
      <c r="AI456" s="120"/>
      <c r="AJ456" s="96">
        <f>SUM(AE456:AH456)</f>
        <v>89</v>
      </c>
      <c r="AK456" s="97">
        <f>IF(C456=2016, AJ456/3,AJ456)+AI456</f>
        <v>89</v>
      </c>
      <c r="AL456" s="22"/>
      <c r="AM456" s="287"/>
      <c r="AN456" s="287"/>
      <c r="AO456" s="287"/>
      <c r="AP456" s="287"/>
      <c r="AQ456" s="287">
        <f>29</f>
        <v>29</v>
      </c>
      <c r="AR456" s="287">
        <f>0</f>
        <v>0</v>
      </c>
      <c r="AS456" s="285"/>
      <c r="AT456" s="95"/>
      <c r="AU456" s="96">
        <f>SUM(AM456:AS456)</f>
        <v>29</v>
      </c>
      <c r="AV456" s="97">
        <f>IF(C456=2015, AU456/3,AU456)+AT456</f>
        <v>29</v>
      </c>
    </row>
    <row r="457" spans="1:48" x14ac:dyDescent="0.25">
      <c r="A457" s="60" t="s">
        <v>1073</v>
      </c>
      <c r="B457" s="65" t="s">
        <v>1336</v>
      </c>
      <c r="C457" s="62">
        <v>2010</v>
      </c>
      <c r="D457" s="1">
        <f t="shared" si="97"/>
        <v>85</v>
      </c>
      <c r="F457" s="278">
        <f>16</f>
        <v>16</v>
      </c>
      <c r="I457" s="261">
        <f>58</f>
        <v>58</v>
      </c>
      <c r="J457" s="261"/>
      <c r="K457" s="261"/>
      <c r="L457" s="261">
        <f>24+3</f>
        <v>27</v>
      </c>
      <c r="M457" s="261">
        <f>4+2</f>
        <v>6</v>
      </c>
      <c r="N457" s="267">
        <f t="shared" si="105"/>
        <v>0</v>
      </c>
      <c r="P457" s="96">
        <f t="shared" si="108"/>
        <v>85</v>
      </c>
      <c r="Q457" s="97">
        <f t="shared" si="106"/>
        <v>85</v>
      </c>
      <c r="R457" s="261"/>
      <c r="S457" s="261"/>
      <c r="T457" s="261"/>
      <c r="U457" s="261"/>
      <c r="V457" s="261"/>
      <c r="W457" s="261"/>
      <c r="X457" s="261"/>
      <c r="Y457" s="261"/>
      <c r="Z457" s="120"/>
      <c r="AA457" s="96"/>
      <c r="AB457" s="97"/>
      <c r="AC457" s="22"/>
      <c r="AD457" s="261"/>
      <c r="AE457" s="261"/>
      <c r="AF457" s="261"/>
      <c r="AG457" s="261"/>
      <c r="AH457" s="261"/>
      <c r="AI457" s="120"/>
      <c r="AJ457" s="96"/>
      <c r="AK457" s="97"/>
      <c r="AL457" s="22"/>
      <c r="AT457" s="95"/>
      <c r="AU457" s="96"/>
      <c r="AV457" s="97"/>
    </row>
    <row r="458" spans="1:48" x14ac:dyDescent="0.25">
      <c r="A458" s="11" t="s">
        <v>686</v>
      </c>
      <c r="B458" s="11" t="s">
        <v>0</v>
      </c>
      <c r="C458" s="3">
        <v>2013</v>
      </c>
      <c r="D458" s="1">
        <f t="shared" si="97"/>
        <v>112.66666666666667</v>
      </c>
      <c r="E458" s="283">
        <f>42</f>
        <v>42</v>
      </c>
      <c r="I458" s="261">
        <f>30</f>
        <v>30</v>
      </c>
      <c r="J458" s="246">
        <f>44</f>
        <v>44</v>
      </c>
      <c r="K458" s="241">
        <f>47</f>
        <v>47</v>
      </c>
      <c r="L458" s="228">
        <f>18</f>
        <v>18</v>
      </c>
      <c r="N458" s="267">
        <f t="shared" si="105"/>
        <v>73</v>
      </c>
      <c r="P458" s="96">
        <f t="shared" si="108"/>
        <v>212</v>
      </c>
      <c r="Q458" s="97">
        <f t="shared" si="106"/>
        <v>70.666666666666671</v>
      </c>
      <c r="S458" s="228">
        <f>30</f>
        <v>30</v>
      </c>
      <c r="T458" s="228">
        <f>0</f>
        <v>0</v>
      </c>
      <c r="U458" s="228"/>
      <c r="V458" s="228">
        <f>23</f>
        <v>23</v>
      </c>
      <c r="W458" s="228"/>
      <c r="X458" s="228"/>
      <c r="Y458" s="228">
        <f t="shared" ref="Y458:Y463" si="109">AK458</f>
        <v>20</v>
      </c>
      <c r="Z458" s="152"/>
      <c r="AA458" s="96">
        <f>AM458+S458+T458+U458+V458+W458+X458+Y458</f>
        <v>73</v>
      </c>
      <c r="AB458" s="97">
        <f>IF(C458=2017, AA458/3,AA458)+Z458</f>
        <v>73</v>
      </c>
      <c r="AC458" s="290"/>
      <c r="AD458" s="290"/>
      <c r="AE458" s="228">
        <f>20</f>
        <v>20</v>
      </c>
      <c r="AF458" s="228"/>
      <c r="AG458" s="228"/>
      <c r="AH458" s="228"/>
      <c r="AI458" s="287"/>
      <c r="AJ458" s="96">
        <f>SUM(AE458:AH458)</f>
        <v>20</v>
      </c>
      <c r="AK458" s="97">
        <f>IF(C458=2016, AJ458/3,AJ458)+AI458</f>
        <v>20</v>
      </c>
      <c r="AL458" s="285"/>
      <c r="AM458" s="287"/>
      <c r="AN458" s="287"/>
      <c r="AO458" s="287"/>
      <c r="AP458" s="287"/>
      <c r="AQ458" s="287"/>
      <c r="AR458" s="287"/>
      <c r="AS458" s="285"/>
      <c r="AU458" s="96">
        <f>SUM(AM458:AS458)</f>
        <v>0</v>
      </c>
      <c r="AV458" s="97">
        <f>IF(C458=2015, AU458/3,AU458)+AT458</f>
        <v>0</v>
      </c>
    </row>
    <row r="459" spans="1:48" x14ac:dyDescent="0.25">
      <c r="A459" s="60" t="s">
        <v>674</v>
      </c>
      <c r="B459" s="65" t="s">
        <v>598</v>
      </c>
      <c r="C459" s="62"/>
      <c r="D459" s="1">
        <f t="shared" si="97"/>
        <v>21</v>
      </c>
      <c r="N459" s="267">
        <f t="shared" si="105"/>
        <v>21</v>
      </c>
      <c r="P459" s="96">
        <f t="shared" si="108"/>
        <v>21</v>
      </c>
      <c r="Q459" s="97">
        <f t="shared" si="106"/>
        <v>21</v>
      </c>
      <c r="S459" s="287"/>
      <c r="T459" s="287"/>
      <c r="U459" s="287"/>
      <c r="V459" s="287"/>
      <c r="W459" s="287"/>
      <c r="X459" s="287"/>
      <c r="Y459" s="287">
        <f t="shared" si="109"/>
        <v>21</v>
      </c>
      <c r="Z459" s="120"/>
      <c r="AA459" s="96">
        <f>S459+T459+U459+V459+W459+X459+Y459</f>
        <v>21</v>
      </c>
      <c r="AB459" s="97">
        <f>IF(C459=2012, AA459/3,AA459)+Z459</f>
        <v>21</v>
      </c>
      <c r="AC459" s="22"/>
      <c r="AD459" s="287"/>
      <c r="AE459" s="287"/>
      <c r="AF459" s="287">
        <f>21</f>
        <v>21</v>
      </c>
      <c r="AG459" s="287"/>
      <c r="AH459" s="287"/>
      <c r="AI459" s="120"/>
      <c r="AJ459" s="96">
        <f>SUM(AD459:AH459)</f>
        <v>21</v>
      </c>
      <c r="AK459" s="97">
        <f>IF(C459=2011, AJ459/3,AJ459)+AI459</f>
        <v>21</v>
      </c>
      <c r="AL459" s="22"/>
      <c r="AT459" s="95"/>
      <c r="AU459" s="96"/>
      <c r="AV459" s="97"/>
    </row>
    <row r="460" spans="1:48" x14ac:dyDescent="0.25">
      <c r="A460" s="11" t="s">
        <v>260</v>
      </c>
      <c r="B460" s="60" t="s">
        <v>64</v>
      </c>
      <c r="C460" s="62">
        <v>2012</v>
      </c>
      <c r="D460" s="1">
        <f t="shared" si="97"/>
        <v>2</v>
      </c>
      <c r="N460" s="267">
        <f t="shared" si="105"/>
        <v>2</v>
      </c>
      <c r="P460" s="96">
        <f t="shared" si="108"/>
        <v>2</v>
      </c>
      <c r="Q460" s="97">
        <f t="shared" si="106"/>
        <v>2</v>
      </c>
      <c r="S460" s="228"/>
      <c r="T460" s="228"/>
      <c r="U460" s="228"/>
      <c r="V460" s="228"/>
      <c r="W460" s="228"/>
      <c r="X460" s="228"/>
      <c r="Y460" s="228">
        <f t="shared" si="109"/>
        <v>6</v>
      </c>
      <c r="Z460" s="120"/>
      <c r="AA460" s="96">
        <f>S460+T460+U460+V460+W460+X460+Y460</f>
        <v>6</v>
      </c>
      <c r="AB460" s="97">
        <f>IF(C460=2012, AA460/3,AA460)+Z460</f>
        <v>2</v>
      </c>
      <c r="AC460" s="290"/>
      <c r="AD460" s="290"/>
      <c r="AE460" s="228"/>
      <c r="AF460" s="228"/>
      <c r="AG460" s="228"/>
      <c r="AH460" s="228">
        <f>AV460</f>
        <v>6</v>
      </c>
      <c r="AI460" s="120"/>
      <c r="AJ460" s="96">
        <f>SUM(AD460:AH460)</f>
        <v>6</v>
      </c>
      <c r="AK460" s="97">
        <f>IF(C460=2011, AJ460/3,AJ460)+AI460</f>
        <v>6</v>
      </c>
      <c r="AL460" s="22"/>
      <c r="AM460" s="287"/>
      <c r="AN460" s="287"/>
      <c r="AO460" s="287">
        <f>6</f>
        <v>6</v>
      </c>
      <c r="AP460" s="287"/>
      <c r="AQ460" s="287"/>
      <c r="AR460" s="287"/>
      <c r="AS460" s="285"/>
      <c r="AT460" s="95"/>
      <c r="AU460" s="96">
        <f>SUM(AM460:AS460)</f>
        <v>6</v>
      </c>
      <c r="AV460" s="97">
        <f>IF(C460=2015, AU460/3,AU460)+AT460</f>
        <v>6</v>
      </c>
    </row>
    <row r="461" spans="1:48" x14ac:dyDescent="0.25">
      <c r="A461" s="11" t="s">
        <v>393</v>
      </c>
      <c r="B461" s="60" t="s">
        <v>6</v>
      </c>
      <c r="C461" s="62">
        <v>2011</v>
      </c>
      <c r="D461" s="1">
        <f t="shared" si="97"/>
        <v>12</v>
      </c>
      <c r="N461" s="267">
        <f t="shared" si="105"/>
        <v>12</v>
      </c>
      <c r="P461" s="96">
        <f t="shared" si="108"/>
        <v>12</v>
      </c>
      <c r="Q461" s="97">
        <f t="shared" si="106"/>
        <v>12</v>
      </c>
      <c r="S461" s="228"/>
      <c r="T461" s="228"/>
      <c r="U461" s="228"/>
      <c r="V461" s="228"/>
      <c r="W461" s="228"/>
      <c r="X461" s="228"/>
      <c r="Y461" s="228">
        <f t="shared" si="109"/>
        <v>12</v>
      </c>
      <c r="Z461" s="120"/>
      <c r="AA461" s="96">
        <f>S461+T461+U461+V461+W461+X461+Y461</f>
        <v>12</v>
      </c>
      <c r="AB461" s="97">
        <f>IF(C461=2012, AA461/3,AA461)+Z461</f>
        <v>12</v>
      </c>
      <c r="AC461" s="287"/>
      <c r="AD461" s="228"/>
      <c r="AE461" s="228"/>
      <c r="AF461" s="228"/>
      <c r="AG461" s="228"/>
      <c r="AH461" s="228">
        <f>AV461</f>
        <v>36</v>
      </c>
      <c r="AI461" s="120"/>
      <c r="AJ461" s="96">
        <f>SUM(AD461:AH461)</f>
        <v>36</v>
      </c>
      <c r="AK461" s="97">
        <f>IF(C461=2011, AJ461/3,AJ461)+AI461</f>
        <v>12</v>
      </c>
      <c r="AL461" s="22"/>
      <c r="AM461" s="287"/>
      <c r="AN461" s="287"/>
      <c r="AO461" s="287"/>
      <c r="AP461" s="287"/>
      <c r="AQ461" s="287">
        <f>36</f>
        <v>36</v>
      </c>
      <c r="AR461" s="287"/>
      <c r="AS461" s="285"/>
      <c r="AT461" s="95"/>
      <c r="AU461" s="96">
        <f>SUM(AM461:AS461)</f>
        <v>36</v>
      </c>
      <c r="AV461" s="97">
        <f>IF(C461=2015, AU461/3,AU461)+AT461</f>
        <v>36</v>
      </c>
    </row>
    <row r="462" spans="1:48" x14ac:dyDescent="0.25">
      <c r="A462" s="11" t="s">
        <v>115</v>
      </c>
      <c r="B462" s="60" t="s">
        <v>63</v>
      </c>
      <c r="C462" s="62">
        <v>2013</v>
      </c>
      <c r="D462" s="1">
        <f t="shared" si="97"/>
        <v>249.66666666666666</v>
      </c>
      <c r="J462" s="246">
        <f>45</f>
        <v>45</v>
      </c>
      <c r="K462" s="241">
        <f>42</f>
        <v>42</v>
      </c>
      <c r="N462" s="267">
        <f t="shared" si="105"/>
        <v>662</v>
      </c>
      <c r="P462" s="96">
        <f t="shared" si="108"/>
        <v>749</v>
      </c>
      <c r="Q462" s="97">
        <f t="shared" si="106"/>
        <v>249.66666666666666</v>
      </c>
      <c r="S462" s="228"/>
      <c r="T462" s="228">
        <f>57</f>
        <v>57</v>
      </c>
      <c r="U462" s="228">
        <f>48</f>
        <v>48</v>
      </c>
      <c r="V462" s="228"/>
      <c r="W462" s="228">
        <f>27+3+6</f>
        <v>36</v>
      </c>
      <c r="X462" s="228">
        <f>48</f>
        <v>48</v>
      </c>
      <c r="Y462" s="228">
        <f t="shared" si="109"/>
        <v>473</v>
      </c>
      <c r="Z462" s="120"/>
      <c r="AA462" s="96">
        <f>AM462+S462+T462+U462+V462+W462+X462+Y462</f>
        <v>662</v>
      </c>
      <c r="AB462" s="97">
        <f>IF(C462=2017, AA462/3,AA462)+Z462</f>
        <v>662</v>
      </c>
      <c r="AC462" s="290"/>
      <c r="AD462" s="290"/>
      <c r="AE462" s="228">
        <f>60+45</f>
        <v>105</v>
      </c>
      <c r="AF462" s="228"/>
      <c r="AG462" s="228">
        <f>69+48</f>
        <v>117</v>
      </c>
      <c r="AH462" s="228">
        <f>AV462</f>
        <v>251</v>
      </c>
      <c r="AI462" s="120"/>
      <c r="AJ462" s="96">
        <f>SUM(AE462:AH462)</f>
        <v>473</v>
      </c>
      <c r="AK462" s="97">
        <f>IF(C462=2016, AJ462/3,AJ462)+AI462</f>
        <v>473</v>
      </c>
      <c r="AL462" s="22"/>
      <c r="AM462" s="41"/>
      <c r="AN462" s="41">
        <v>38</v>
      </c>
      <c r="AO462" s="41">
        <f>25</f>
        <v>25</v>
      </c>
      <c r="AP462" s="41">
        <f>55+9</f>
        <v>64</v>
      </c>
      <c r="AQ462" s="41">
        <f>8+33</f>
        <v>41</v>
      </c>
      <c r="AR462" s="41">
        <f>44+39</f>
        <v>83</v>
      </c>
      <c r="AT462" s="95"/>
      <c r="AU462" s="96">
        <f>SUM(AM462:AS462)</f>
        <v>251</v>
      </c>
      <c r="AV462" s="97">
        <f>IF(C462=2015, AU462/3,AU462)+AT462</f>
        <v>251</v>
      </c>
    </row>
    <row r="463" spans="1:48" x14ac:dyDescent="0.25">
      <c r="A463" s="60" t="s">
        <v>914</v>
      </c>
      <c r="B463" s="65" t="s">
        <v>64</v>
      </c>
      <c r="C463" s="62"/>
      <c r="D463" s="1">
        <f t="shared" ref="D463:D470" si="110">Q463+E463</f>
        <v>3</v>
      </c>
      <c r="N463" s="267">
        <f t="shared" si="105"/>
        <v>3</v>
      </c>
      <c r="P463" s="96">
        <f t="shared" si="108"/>
        <v>3</v>
      </c>
      <c r="Q463" s="97">
        <f t="shared" si="106"/>
        <v>3</v>
      </c>
      <c r="S463" s="278"/>
      <c r="T463" s="278"/>
      <c r="U463" s="278"/>
      <c r="V463" s="278">
        <f>3</f>
        <v>3</v>
      </c>
      <c r="W463" s="278"/>
      <c r="X463" s="278"/>
      <c r="Y463" s="278">
        <f t="shared" si="109"/>
        <v>0</v>
      </c>
      <c r="Z463" s="120"/>
      <c r="AA463" s="96">
        <f>S463+T463+U463+V463+W463+X463+Y463</f>
        <v>3</v>
      </c>
      <c r="AB463" s="97">
        <f>IF(C463=2012, AA463/3,AA463)+Z463</f>
        <v>3</v>
      </c>
      <c r="AC463" s="22"/>
      <c r="AD463" s="278"/>
      <c r="AE463" s="278"/>
      <c r="AF463" s="278"/>
      <c r="AG463" s="278"/>
      <c r="AH463" s="278"/>
      <c r="AI463" s="120"/>
      <c r="AJ463" s="96">
        <f>SUM(AD463:AH463)</f>
        <v>0</v>
      </c>
      <c r="AK463" s="97">
        <f>IF(C463=2011, AJ463/3,AJ463)+AI463</f>
        <v>0</v>
      </c>
      <c r="AL463" s="22"/>
      <c r="AT463" s="95"/>
      <c r="AU463" s="96"/>
      <c r="AV463" s="97"/>
    </row>
    <row r="464" spans="1:48" x14ac:dyDescent="0.25">
      <c r="A464" s="11" t="s">
        <v>1165</v>
      </c>
      <c r="B464" s="87" t="s">
        <v>87</v>
      </c>
      <c r="C464" s="3">
        <v>2011</v>
      </c>
      <c r="D464" s="1">
        <f t="shared" si="110"/>
        <v>3</v>
      </c>
      <c r="L464" s="228">
        <f>3</f>
        <v>3</v>
      </c>
      <c r="N464" s="267">
        <f t="shared" si="105"/>
        <v>0</v>
      </c>
      <c r="P464" s="96">
        <f t="shared" si="108"/>
        <v>3</v>
      </c>
      <c r="Q464" s="97">
        <f t="shared" si="106"/>
        <v>3</v>
      </c>
    </row>
    <row r="465" spans="1:67" x14ac:dyDescent="0.25">
      <c r="A465" s="11" t="s">
        <v>888</v>
      </c>
      <c r="B465" s="11" t="s">
        <v>296</v>
      </c>
      <c r="C465" s="3">
        <v>2012</v>
      </c>
      <c r="D465" s="1">
        <f t="shared" si="110"/>
        <v>0</v>
      </c>
      <c r="L465" s="241"/>
      <c r="M465" s="241"/>
      <c r="N465" s="267">
        <f t="shared" si="105"/>
        <v>0</v>
      </c>
      <c r="P465" s="96">
        <f t="shared" si="108"/>
        <v>0</v>
      </c>
      <c r="Q465" s="97">
        <f t="shared" si="106"/>
        <v>0</v>
      </c>
      <c r="R465" s="241"/>
      <c r="S465" s="241"/>
      <c r="T465" s="241"/>
      <c r="U465" s="241"/>
      <c r="V465" s="241">
        <f>0</f>
        <v>0</v>
      </c>
      <c r="W465" s="241"/>
      <c r="X465" s="241"/>
      <c r="Y465" s="241">
        <f>AK465</f>
        <v>0</v>
      </c>
      <c r="Z465" s="278"/>
      <c r="AA465" s="96">
        <f>S465+T465+U465+V465+W465+X465+Y465</f>
        <v>0</v>
      </c>
      <c r="AB465" s="97">
        <f>IF(C465=2012, AA465/3,AA465)+Z465</f>
        <v>0</v>
      </c>
      <c r="AE465" s="241"/>
      <c r="AF465" s="241"/>
      <c r="AG465" s="241"/>
      <c r="AH465" s="241"/>
      <c r="AI465" s="278"/>
      <c r="AJ465" s="96">
        <f>SUM(AD465:AH465)</f>
        <v>0</v>
      </c>
      <c r="AK465" s="97">
        <f>IF(C465=2011, AJ465/3,AJ465)+AI465</f>
        <v>0</v>
      </c>
      <c r="AL465" s="275"/>
      <c r="AM465" s="278"/>
      <c r="AN465" s="278"/>
      <c r="AO465" s="278"/>
      <c r="AP465" s="278"/>
      <c r="AQ465" s="278"/>
      <c r="AR465" s="278"/>
      <c r="AS465" s="275"/>
    </row>
    <row r="466" spans="1:67" x14ac:dyDescent="0.25">
      <c r="A466" s="11" t="s">
        <v>897</v>
      </c>
      <c r="B466" s="60" t="s">
        <v>296</v>
      </c>
      <c r="C466" s="62">
        <v>2013</v>
      </c>
      <c r="D466" s="1">
        <f t="shared" si="110"/>
        <v>0</v>
      </c>
      <c r="N466" s="267">
        <f t="shared" si="105"/>
        <v>0</v>
      </c>
      <c r="P466" s="96">
        <f t="shared" si="108"/>
        <v>0</v>
      </c>
      <c r="Q466" s="97">
        <f t="shared" si="106"/>
        <v>0</v>
      </c>
      <c r="S466" s="228"/>
      <c r="T466" s="228"/>
      <c r="U466" s="228"/>
      <c r="V466" s="228">
        <f>0</f>
        <v>0</v>
      </c>
      <c r="W466" s="228"/>
      <c r="X466" s="228"/>
      <c r="Y466" s="228">
        <f>AK466</f>
        <v>0</v>
      </c>
      <c r="Z466" s="152"/>
      <c r="AA466" s="96">
        <f>AM466+S466+T466+U466+V466+W466+X466+Y466</f>
        <v>0</v>
      </c>
      <c r="AB466" s="97">
        <f>IF(C466=2017, AA466/3,AA466)+Z466</f>
        <v>0</v>
      </c>
      <c r="AE466" s="228"/>
      <c r="AF466" s="228"/>
      <c r="AG466" s="228"/>
      <c r="AH466" s="228"/>
      <c r="AI466" s="120"/>
      <c r="AJ466" s="96">
        <f>SUM(AE466:AH466)</f>
        <v>0</v>
      </c>
      <c r="AK466" s="97">
        <f>IF(C466=2016, AJ466/3,AJ466)+AI466</f>
        <v>0</v>
      </c>
      <c r="AL466" s="22"/>
      <c r="AM466" s="278"/>
      <c r="AN466" s="278"/>
      <c r="AO466" s="278"/>
      <c r="AP466" s="278"/>
      <c r="AQ466" s="278"/>
      <c r="AR466" s="278"/>
      <c r="AS466" s="275"/>
      <c r="AT466" s="95"/>
      <c r="AU466" s="96"/>
      <c r="AV466" s="97"/>
    </row>
    <row r="467" spans="1:67" x14ac:dyDescent="0.25">
      <c r="A467" s="11" t="s">
        <v>1019</v>
      </c>
      <c r="B467" s="11" t="s">
        <v>86</v>
      </c>
      <c r="C467" s="3">
        <v>2012</v>
      </c>
      <c r="D467" s="1">
        <f t="shared" si="110"/>
        <v>0</v>
      </c>
      <c r="N467" s="267">
        <f t="shared" si="105"/>
        <v>0</v>
      </c>
      <c r="P467" s="96">
        <f t="shared" si="108"/>
        <v>0</v>
      </c>
      <c r="Q467" s="97">
        <f t="shared" si="106"/>
        <v>0</v>
      </c>
      <c r="S467" s="201">
        <f>0</f>
        <v>0</v>
      </c>
      <c r="T467" s="192"/>
      <c r="U467" s="183"/>
      <c r="V467" s="168"/>
      <c r="W467" s="50"/>
      <c r="X467" s="50"/>
      <c r="Y467" s="215">
        <f>AK467</f>
        <v>0</v>
      </c>
      <c r="Z467" s="287"/>
      <c r="AA467" s="96">
        <f>S467+T467+U467+V467+W467+X467+Y467</f>
        <v>0</v>
      </c>
      <c r="AB467" s="97">
        <f>IF(C467=2012, AA467/3,AA467)+Z467</f>
        <v>0</v>
      </c>
      <c r="AE467" s="50"/>
      <c r="AF467" s="50"/>
      <c r="AG467" s="50"/>
      <c r="AH467" s="50"/>
      <c r="AI467" s="287"/>
      <c r="AJ467" s="96">
        <f>SUM(AD467:AH467)</f>
        <v>0</v>
      </c>
      <c r="AK467" s="97">
        <f>IF(C467=2011, AJ467/3,AJ467)+AI467</f>
        <v>0</v>
      </c>
      <c r="AL467" s="285"/>
      <c r="AM467" s="287"/>
      <c r="AN467" s="287"/>
      <c r="AO467" s="287"/>
      <c r="AP467" s="287"/>
      <c r="AQ467" s="287"/>
      <c r="AR467" s="287"/>
      <c r="AS467" s="285"/>
    </row>
    <row r="468" spans="1:67" x14ac:dyDescent="0.25">
      <c r="A468" s="11" t="s">
        <v>1245</v>
      </c>
      <c r="B468" s="87" t="s">
        <v>86</v>
      </c>
      <c r="D468" s="1">
        <f t="shared" si="110"/>
        <v>64</v>
      </c>
      <c r="K468" s="241">
        <f>46+18</f>
        <v>64</v>
      </c>
      <c r="N468" s="267">
        <f t="shared" si="105"/>
        <v>0</v>
      </c>
      <c r="P468" s="96">
        <f t="shared" si="108"/>
        <v>64</v>
      </c>
      <c r="Q468" s="97">
        <f t="shared" si="106"/>
        <v>64</v>
      </c>
    </row>
    <row r="469" spans="1:67" x14ac:dyDescent="0.25">
      <c r="A469" s="11" t="s">
        <v>1089</v>
      </c>
      <c r="B469" s="11" t="s">
        <v>1088</v>
      </c>
      <c r="C469" s="3">
        <v>2013</v>
      </c>
      <c r="D469" s="1">
        <f t="shared" si="110"/>
        <v>0</v>
      </c>
      <c r="L469" s="228">
        <f>0</f>
        <v>0</v>
      </c>
      <c r="N469" s="267">
        <f t="shared" si="105"/>
        <v>0</v>
      </c>
      <c r="P469" s="96">
        <f t="shared" si="108"/>
        <v>0</v>
      </c>
      <c r="Q469" s="97">
        <f t="shared" si="106"/>
        <v>0</v>
      </c>
      <c r="S469" s="287"/>
      <c r="T469" s="287"/>
      <c r="U469" s="287"/>
      <c r="V469" s="287"/>
      <c r="W469" s="287"/>
      <c r="X469" s="287"/>
      <c r="Y469" s="287"/>
      <c r="Z469" s="287"/>
      <c r="AE469" s="287"/>
      <c r="AF469" s="287"/>
      <c r="AG469" s="287"/>
      <c r="AH469" s="287"/>
      <c r="AI469" s="287"/>
      <c r="AL469" s="285"/>
      <c r="AM469" s="287"/>
      <c r="AN469" s="287"/>
      <c r="AO469" s="287"/>
      <c r="AP469" s="287"/>
      <c r="AQ469" s="287"/>
      <c r="AR469" s="287"/>
      <c r="AS469" s="285"/>
    </row>
    <row r="470" spans="1:67" x14ac:dyDescent="0.25">
      <c r="A470" s="11" t="s">
        <v>224</v>
      </c>
      <c r="B470" s="65" t="s">
        <v>87</v>
      </c>
      <c r="C470" s="3">
        <v>2010</v>
      </c>
      <c r="D470" s="1">
        <f t="shared" si="110"/>
        <v>15</v>
      </c>
      <c r="L470" s="228">
        <f>0</f>
        <v>0</v>
      </c>
      <c r="N470" s="267">
        <f t="shared" si="105"/>
        <v>15</v>
      </c>
      <c r="P470" s="96">
        <f t="shared" si="108"/>
        <v>15</v>
      </c>
      <c r="Q470" s="97">
        <f t="shared" si="106"/>
        <v>15</v>
      </c>
      <c r="S470" s="278"/>
      <c r="T470" s="278"/>
      <c r="U470" s="278"/>
      <c r="V470" s="278"/>
      <c r="W470" s="278"/>
      <c r="X470" s="278"/>
      <c r="Y470" s="278">
        <f>AK470</f>
        <v>15</v>
      </c>
      <c r="Z470" s="120"/>
      <c r="AA470" s="96">
        <f>S470+T470+U470+V470+W470+X470+Y470</f>
        <v>15</v>
      </c>
      <c r="AB470" s="97">
        <f>IF(C470=2012, AA470/3,AA470)+Z470</f>
        <v>15</v>
      </c>
      <c r="AC470" s="22"/>
      <c r="AD470" s="287"/>
      <c r="AE470" s="278"/>
      <c r="AF470" s="278"/>
      <c r="AG470" s="278"/>
      <c r="AH470" s="278">
        <f>AV470</f>
        <v>15</v>
      </c>
      <c r="AI470" s="120"/>
      <c r="AJ470" s="96">
        <f>SUM(AD470:AH470)</f>
        <v>15</v>
      </c>
      <c r="AK470" s="97">
        <f>IF(C470=2011, AJ470/3,AJ470)+AI470</f>
        <v>15</v>
      </c>
      <c r="AL470" s="22"/>
      <c r="AM470" s="41"/>
      <c r="AN470" s="41"/>
      <c r="AO470" s="41"/>
      <c r="AP470" s="41"/>
      <c r="AQ470" s="41"/>
      <c r="AR470" s="41"/>
      <c r="AT470" s="95">
        <f>15</f>
        <v>15</v>
      </c>
      <c r="AU470" s="96">
        <f>SUM(AM470:AS470)</f>
        <v>0</v>
      </c>
      <c r="AV470" s="97">
        <f>IF(C470=2010, AU470/3,AU470)+AT470</f>
        <v>15</v>
      </c>
    </row>
    <row r="471" spans="1:67" s="17" customFormat="1" x14ac:dyDescent="0.25">
      <c r="A471" s="304" t="s">
        <v>15</v>
      </c>
      <c r="B471" s="305"/>
      <c r="C471" s="306"/>
      <c r="D471" s="1"/>
      <c r="E471" s="283"/>
      <c r="F471" s="278"/>
      <c r="G471" s="120"/>
      <c r="H471" s="13"/>
      <c r="I471" s="261"/>
      <c r="J471" s="256"/>
      <c r="K471" s="256"/>
      <c r="L471" s="256"/>
      <c r="M471" s="256"/>
      <c r="N471" s="267">
        <f t="shared" ref="N471" si="111">AB471</f>
        <v>0</v>
      </c>
      <c r="O471" s="120"/>
      <c r="P471" s="96">
        <f t="shared" ref="P471" si="112">I471+J471+K471+L471+N471</f>
        <v>0</v>
      </c>
      <c r="Q471" s="97">
        <f t="shared" ref="Q471" si="113">IF(C471=2013, P471/3,P471)+O471</f>
        <v>0</v>
      </c>
      <c r="R471" s="256"/>
      <c r="S471" s="256"/>
      <c r="T471" s="256"/>
      <c r="U471" s="256"/>
      <c r="V471" s="256"/>
      <c r="W471" s="256"/>
      <c r="X471" s="256"/>
      <c r="Y471" s="256">
        <f t="shared" ref="Y471" si="114">AK471</f>
        <v>0</v>
      </c>
      <c r="Z471" s="256"/>
      <c r="AA471" s="96">
        <f>S471+T471+U471+V471+W471+X471+Y471</f>
        <v>0</v>
      </c>
      <c r="AB471" s="97">
        <f>IF(C471=2012, AA471/3,AA471)+Z471</f>
        <v>0</v>
      </c>
      <c r="AC471" s="22"/>
      <c r="AD471" s="256"/>
      <c r="AE471" s="256"/>
      <c r="AF471" s="256"/>
      <c r="AG471" s="256"/>
      <c r="AH471" s="256"/>
      <c r="AI471" s="256"/>
      <c r="AJ471" s="96">
        <f>SUM(AD471:AH471)</f>
        <v>0</v>
      </c>
      <c r="AK471" s="97">
        <f>IF(C471=2011, AJ471/3,AJ471)+AI471</f>
        <v>0</v>
      </c>
      <c r="AL471" s="22"/>
      <c r="AM471" s="256"/>
      <c r="AN471" s="256"/>
      <c r="AO471" s="256"/>
      <c r="AP471" s="256"/>
      <c r="AQ471" s="256"/>
      <c r="AR471" s="256"/>
      <c r="AS471" s="256"/>
      <c r="AT471" s="68"/>
      <c r="AU471" s="68"/>
      <c r="AV471" s="68"/>
    </row>
    <row r="472" spans="1:67" x14ac:dyDescent="0.25">
      <c r="A472" s="60" t="s">
        <v>1423</v>
      </c>
      <c r="B472" s="65" t="s">
        <v>0</v>
      </c>
      <c r="C472" s="62">
        <v>2012</v>
      </c>
      <c r="D472" s="1">
        <f>Q472+E472</f>
        <v>28</v>
      </c>
      <c r="E472" s="283">
        <f>21+7</f>
        <v>28</v>
      </c>
      <c r="F472" s="283"/>
      <c r="I472" s="283"/>
      <c r="J472" s="283"/>
      <c r="K472" s="283"/>
      <c r="L472" s="283"/>
      <c r="M472" s="283"/>
      <c r="N472" s="283"/>
      <c r="P472" s="96"/>
      <c r="Q472" s="97"/>
      <c r="R472" s="283"/>
      <c r="S472" s="283"/>
      <c r="T472" s="283"/>
      <c r="U472" s="283"/>
      <c r="V472" s="283"/>
      <c r="W472" s="283"/>
      <c r="X472" s="283"/>
      <c r="Y472" s="283"/>
      <c r="Z472" s="120"/>
      <c r="AA472" s="96"/>
      <c r="AB472" s="97"/>
      <c r="AC472" s="22"/>
      <c r="AD472" s="283"/>
      <c r="AE472" s="283"/>
      <c r="AF472" s="283"/>
      <c r="AG472" s="283"/>
      <c r="AH472" s="283"/>
      <c r="AI472" s="120"/>
      <c r="AJ472" s="96"/>
      <c r="AK472" s="97"/>
      <c r="AL472" s="22"/>
      <c r="AT472" s="95"/>
      <c r="AU472" s="96"/>
      <c r="AV472" s="9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17"/>
    </row>
    <row r="473" spans="1:67" x14ac:dyDescent="0.25">
      <c r="A473" s="60" t="s">
        <v>650</v>
      </c>
      <c r="B473" s="65" t="s">
        <v>697</v>
      </c>
      <c r="C473" s="62"/>
      <c r="D473" s="1">
        <f>Q473+E473</f>
        <v>63</v>
      </c>
      <c r="I473" s="261">
        <f>3</f>
        <v>3</v>
      </c>
      <c r="J473" s="246">
        <f>60</f>
        <v>60</v>
      </c>
      <c r="N473" s="267">
        <f t="shared" ref="N473:N474" si="115">AB473</f>
        <v>0</v>
      </c>
      <c r="P473" s="96">
        <f>I473+J473+K473+L473+N473</f>
        <v>63</v>
      </c>
      <c r="Q473" s="97">
        <f t="shared" ref="Q473:Q474" si="116">IF(C473=2013, P473/3,P473)+O473</f>
        <v>63</v>
      </c>
      <c r="S473" s="201"/>
      <c r="T473" s="192"/>
      <c r="U473" s="183"/>
      <c r="V473" s="168"/>
      <c r="W473" s="50"/>
      <c r="X473" s="50"/>
      <c r="Y473" s="215"/>
      <c r="Z473" s="120"/>
      <c r="AA473" s="96"/>
      <c r="AB473" s="97"/>
      <c r="AC473" s="22"/>
      <c r="AD473" s="278"/>
      <c r="AE473" s="50"/>
      <c r="AF473" s="50"/>
      <c r="AG473" s="50"/>
      <c r="AH473" s="50"/>
      <c r="AI473" s="120"/>
      <c r="AJ473" s="96"/>
      <c r="AK473" s="97"/>
      <c r="AL473" s="22"/>
      <c r="AT473" s="95"/>
      <c r="AU473" s="96"/>
      <c r="AV473" s="9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17"/>
    </row>
    <row r="474" spans="1:67" x14ac:dyDescent="0.25">
      <c r="A474" s="60" t="s">
        <v>1357</v>
      </c>
      <c r="B474" s="65" t="s">
        <v>1315</v>
      </c>
      <c r="C474" s="62"/>
      <c r="D474" s="1">
        <f>Q474+E474</f>
        <v>0</v>
      </c>
      <c r="I474" s="261">
        <f>0</f>
        <v>0</v>
      </c>
      <c r="N474" s="267">
        <f t="shared" si="115"/>
        <v>0</v>
      </c>
      <c r="P474" s="96">
        <f>I474+J474+K474+L474+N474</f>
        <v>0</v>
      </c>
      <c r="Q474" s="97">
        <f t="shared" si="116"/>
        <v>0</v>
      </c>
      <c r="S474" s="201"/>
      <c r="T474" s="192"/>
      <c r="U474" s="183"/>
      <c r="V474" s="168"/>
      <c r="W474" s="50"/>
      <c r="X474" s="50"/>
      <c r="Y474" s="215"/>
      <c r="Z474" s="120"/>
      <c r="AA474" s="96"/>
      <c r="AB474" s="97"/>
      <c r="AC474" s="22"/>
      <c r="AD474" s="278"/>
      <c r="AE474" s="50"/>
      <c r="AF474" s="50"/>
      <c r="AG474" s="50"/>
      <c r="AH474" s="50"/>
      <c r="AI474" s="120"/>
      <c r="AJ474" s="96"/>
      <c r="AK474" s="97"/>
      <c r="AL474" s="22"/>
      <c r="AT474" s="95"/>
      <c r="AU474" s="96"/>
      <c r="AV474" s="9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</row>
    <row r="475" spans="1:67" x14ac:dyDescent="0.25">
      <c r="A475" s="11" t="s">
        <v>1428</v>
      </c>
      <c r="B475" s="87" t="s">
        <v>0</v>
      </c>
      <c r="C475" s="3">
        <v>2012</v>
      </c>
      <c r="D475" s="1">
        <f t="shared" ref="D475:D481" si="117">Q475+E475</f>
        <v>16</v>
      </c>
      <c r="E475" s="283">
        <f>9+7</f>
        <v>16</v>
      </c>
      <c r="F475" s="283"/>
      <c r="I475" s="283"/>
      <c r="J475" s="283"/>
      <c r="K475" s="283"/>
      <c r="L475" s="283"/>
      <c r="M475" s="283"/>
      <c r="N475" s="283"/>
      <c r="P475" s="96"/>
      <c r="Q475" s="97"/>
      <c r="R475" s="283"/>
    </row>
    <row r="476" spans="1:67" x14ac:dyDescent="0.25">
      <c r="A476" s="11" t="s">
        <v>1427</v>
      </c>
      <c r="B476" s="87" t="s">
        <v>63</v>
      </c>
      <c r="C476" s="3">
        <v>2012</v>
      </c>
      <c r="D476" s="1">
        <f t="shared" si="117"/>
        <v>11</v>
      </c>
      <c r="E476" s="283">
        <f>11</f>
        <v>11</v>
      </c>
      <c r="F476" s="283"/>
      <c r="I476" s="283"/>
      <c r="J476" s="283"/>
      <c r="K476" s="283"/>
      <c r="L476" s="283"/>
      <c r="M476" s="283"/>
      <c r="N476" s="283"/>
      <c r="P476" s="96"/>
      <c r="Q476" s="97"/>
      <c r="R476" s="283"/>
    </row>
    <row r="477" spans="1:67" x14ac:dyDescent="0.25">
      <c r="A477" s="11" t="s">
        <v>1148</v>
      </c>
      <c r="B477" s="87" t="s">
        <v>697</v>
      </c>
      <c r="C477" s="3">
        <v>2010</v>
      </c>
      <c r="D477" s="1">
        <f t="shared" si="117"/>
        <v>17</v>
      </c>
      <c r="E477" s="283">
        <f>17</f>
        <v>17</v>
      </c>
      <c r="F477" s="283"/>
      <c r="I477" s="283"/>
      <c r="J477" s="283"/>
      <c r="K477" s="283"/>
      <c r="L477" s="283"/>
      <c r="M477" s="283"/>
      <c r="N477" s="283"/>
      <c r="P477" s="96"/>
      <c r="Q477" s="97"/>
      <c r="R477" s="283"/>
    </row>
    <row r="478" spans="1:67" x14ac:dyDescent="0.25">
      <c r="A478" s="11" t="s">
        <v>1438</v>
      </c>
      <c r="B478" s="60" t="s">
        <v>697</v>
      </c>
      <c r="C478" s="62">
        <v>2012</v>
      </c>
      <c r="D478" s="1">
        <f t="shared" si="117"/>
        <v>24</v>
      </c>
      <c r="E478" s="283">
        <f>24</f>
        <v>24</v>
      </c>
      <c r="I478" s="278">
        <f>0</f>
        <v>0</v>
      </c>
      <c r="J478" s="278">
        <f>0</f>
        <v>0</v>
      </c>
      <c r="K478" s="278"/>
      <c r="L478" s="278"/>
      <c r="M478" s="278"/>
      <c r="N478" s="267">
        <f>AB478</f>
        <v>0</v>
      </c>
      <c r="P478" s="96">
        <f>I478+J478+K478+L478+N478</f>
        <v>0</v>
      </c>
      <c r="Q478" s="97">
        <f>IF(C478=2013, P478/3,P478)+O478</f>
        <v>0</v>
      </c>
      <c r="R478" s="278"/>
      <c r="S478" s="278"/>
      <c r="T478" s="278"/>
      <c r="U478" s="278"/>
      <c r="V478" s="278"/>
      <c r="W478" s="278"/>
      <c r="X478" s="278"/>
      <c r="Y478" s="215"/>
      <c r="Z478" s="152"/>
      <c r="AA478" s="96"/>
      <c r="AB478" s="97"/>
      <c r="AC478" s="280"/>
      <c r="AD478" s="280"/>
      <c r="AE478" s="278"/>
      <c r="AF478" s="278"/>
      <c r="AG478" s="278"/>
      <c r="AH478" s="278"/>
      <c r="AI478" s="120"/>
      <c r="AJ478" s="96"/>
      <c r="AK478" s="97"/>
      <c r="AL478" s="22"/>
      <c r="AM478" s="151"/>
      <c r="AN478" s="151"/>
      <c r="AO478" s="151"/>
      <c r="AP478" s="151"/>
      <c r="AQ478" s="151"/>
      <c r="AR478" s="151"/>
      <c r="AT478" s="95"/>
      <c r="AU478" s="96"/>
      <c r="AV478" s="97"/>
    </row>
    <row r="479" spans="1:67" x14ac:dyDescent="0.25">
      <c r="A479" s="11" t="s">
        <v>1391</v>
      </c>
      <c r="B479" s="11" t="s">
        <v>1392</v>
      </c>
      <c r="C479" s="62">
        <v>2012</v>
      </c>
      <c r="D479" s="1">
        <f t="shared" si="117"/>
        <v>69</v>
      </c>
      <c r="E479" s="283">
        <f>69</f>
        <v>69</v>
      </c>
      <c r="F479" s="278">
        <f>12</f>
        <v>12</v>
      </c>
      <c r="I479" s="278"/>
      <c r="J479" s="278"/>
      <c r="K479" s="278"/>
      <c r="L479" s="278"/>
      <c r="M479" s="278"/>
      <c r="N479" s="278"/>
      <c r="P479" s="96"/>
      <c r="Q479" s="97"/>
      <c r="R479" s="278"/>
      <c r="S479" s="278"/>
      <c r="T479" s="278"/>
      <c r="U479" s="278"/>
      <c r="V479" s="278"/>
      <c r="W479" s="278"/>
      <c r="X479" s="278"/>
      <c r="Y479" s="278"/>
      <c r="Z479" s="152"/>
      <c r="AA479" s="96"/>
      <c r="AB479" s="97"/>
      <c r="AE479" s="278"/>
      <c r="AF479" s="278"/>
      <c r="AG479" s="278"/>
      <c r="AH479" s="278"/>
      <c r="AI479" s="120"/>
      <c r="AJ479" s="96"/>
      <c r="AK479" s="97"/>
      <c r="AL479" s="22"/>
      <c r="AM479" s="151"/>
      <c r="AN479" s="151"/>
      <c r="AO479" s="151"/>
      <c r="AP479" s="151"/>
      <c r="AQ479" s="151"/>
      <c r="AR479" s="151"/>
      <c r="AT479" s="95"/>
      <c r="AU479" s="96"/>
      <c r="AV479" s="97"/>
    </row>
    <row r="480" spans="1:67" x14ac:dyDescent="0.25">
      <c r="A480" s="45" t="s">
        <v>1356</v>
      </c>
      <c r="B480" s="66" t="s">
        <v>1336</v>
      </c>
      <c r="C480" s="46"/>
      <c r="D480" s="1">
        <f t="shared" si="117"/>
        <v>0</v>
      </c>
      <c r="I480" s="261">
        <f>0</f>
        <v>0</v>
      </c>
      <c r="J480" s="261"/>
      <c r="K480" s="261"/>
      <c r="L480" s="261"/>
      <c r="M480" s="261"/>
      <c r="N480" s="267">
        <f>AB480</f>
        <v>0</v>
      </c>
      <c r="P480" s="96">
        <f>I480+J480+K480+L480+N480</f>
        <v>0</v>
      </c>
      <c r="Q480" s="97">
        <f>IF(C480=2013, P480/3,P480)+O480</f>
        <v>0</v>
      </c>
      <c r="R480" s="261"/>
      <c r="Y480" s="215"/>
      <c r="Z480" s="152"/>
      <c r="AA480" s="96"/>
      <c r="AB480" s="97"/>
      <c r="AE480" s="215"/>
      <c r="AF480" s="215"/>
      <c r="AG480" s="215"/>
      <c r="AH480" s="215"/>
      <c r="AI480" s="120"/>
      <c r="AJ480" s="96"/>
      <c r="AK480" s="97"/>
      <c r="AL480" s="101"/>
      <c r="AM480" s="151"/>
      <c r="AN480" s="151"/>
      <c r="AO480" s="151"/>
      <c r="AP480" s="151"/>
      <c r="AQ480" s="151"/>
      <c r="AR480" s="151"/>
      <c r="AT480" s="95"/>
      <c r="AU480" s="96"/>
      <c r="AV480" s="97"/>
    </row>
    <row r="481" spans="1:67" x14ac:dyDescent="0.25">
      <c r="A481" s="11" t="s">
        <v>1390</v>
      </c>
      <c r="B481" s="87" t="s">
        <v>6</v>
      </c>
      <c r="C481" s="3">
        <v>2013</v>
      </c>
      <c r="D481" s="1">
        <f t="shared" si="117"/>
        <v>15</v>
      </c>
      <c r="E481" s="283">
        <f>15</f>
        <v>15</v>
      </c>
      <c r="F481" s="278">
        <f>0</f>
        <v>0</v>
      </c>
      <c r="I481" s="278"/>
      <c r="J481" s="278"/>
      <c r="K481" s="278"/>
      <c r="L481" s="278"/>
      <c r="M481" s="278"/>
      <c r="N481" s="278"/>
      <c r="P481" s="96"/>
      <c r="Q481" s="97"/>
      <c r="R481" s="278"/>
    </row>
    <row r="482" spans="1:67" s="17" customFormat="1" x14ac:dyDescent="0.25">
      <c r="A482" s="11" t="s">
        <v>1432</v>
      </c>
      <c r="B482" s="60" t="s">
        <v>697</v>
      </c>
      <c r="C482" s="62">
        <v>2013</v>
      </c>
      <c r="D482" s="1">
        <f t="shared" ref="D482:D483" si="118">Q482+E482</f>
        <v>9</v>
      </c>
      <c r="E482" s="283">
        <f>4+5</f>
        <v>9</v>
      </c>
      <c r="F482" s="283"/>
      <c r="G482" s="120"/>
      <c r="H482" s="13"/>
      <c r="I482" s="283"/>
      <c r="J482" s="283"/>
      <c r="K482" s="283"/>
      <c r="L482" s="283"/>
      <c r="M482" s="283"/>
      <c r="N482" s="283"/>
      <c r="O482" s="120"/>
      <c r="P482" s="96"/>
      <c r="Q482" s="97"/>
      <c r="R482" s="283"/>
      <c r="S482" s="283"/>
      <c r="T482" s="283"/>
      <c r="U482" s="283"/>
      <c r="V482" s="283"/>
      <c r="W482" s="283"/>
      <c r="X482" s="283"/>
      <c r="Y482" s="283"/>
      <c r="Z482" s="120"/>
      <c r="AA482" s="96"/>
      <c r="AB482" s="97"/>
      <c r="AC482" s="22"/>
      <c r="AD482" s="283"/>
      <c r="AE482" s="283"/>
      <c r="AF482" s="283"/>
      <c r="AG482" s="283"/>
      <c r="AH482" s="283"/>
      <c r="AI482" s="120"/>
      <c r="AJ482" s="96"/>
      <c r="AK482" s="97"/>
      <c r="AL482" s="22"/>
      <c r="AM482" s="41"/>
      <c r="AN482" s="41"/>
      <c r="AO482" s="41"/>
      <c r="AP482" s="41"/>
      <c r="AQ482" s="41"/>
      <c r="AR482" s="41"/>
      <c r="AS482" s="13"/>
      <c r="AT482" s="95"/>
      <c r="AU482" s="96"/>
      <c r="AV482" s="97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spans="1:67" s="17" customFormat="1" x14ac:dyDescent="0.25">
      <c r="A483" s="11" t="s">
        <v>1358</v>
      </c>
      <c r="B483" s="87" t="s">
        <v>85</v>
      </c>
      <c r="C483" s="3"/>
      <c r="D483" s="1">
        <f t="shared" si="118"/>
        <v>0</v>
      </c>
      <c r="E483" s="283"/>
      <c r="F483" s="278"/>
      <c r="G483" s="120"/>
      <c r="H483" s="13"/>
      <c r="I483" s="261">
        <f>0</f>
        <v>0</v>
      </c>
      <c r="J483" s="246"/>
      <c r="K483" s="241"/>
      <c r="L483" s="241"/>
      <c r="M483" s="241"/>
      <c r="N483" s="267">
        <f t="shared" ref="N483:N486" si="119">AB483</f>
        <v>0</v>
      </c>
      <c r="O483" s="120"/>
      <c r="P483" s="96">
        <f>I483+J483+K483+L483+N483</f>
        <v>0</v>
      </c>
      <c r="Q483" s="97">
        <f t="shared" ref="Q483:Q486" si="120">IF(C483=2013, P483/3,P483)+O483</f>
        <v>0</v>
      </c>
      <c r="R483" s="241"/>
      <c r="S483" s="154"/>
      <c r="T483" s="154"/>
      <c r="U483" s="154"/>
      <c r="V483" s="154"/>
      <c r="W483" s="154"/>
      <c r="X483" s="154"/>
      <c r="Y483" s="154"/>
      <c r="Z483" s="13"/>
      <c r="AA483" s="3"/>
      <c r="AB483" s="3"/>
      <c r="AC483" s="13"/>
      <c r="AD483" s="13"/>
      <c r="AE483" s="13"/>
      <c r="AF483" s="13"/>
      <c r="AG483" s="13"/>
      <c r="AH483" s="13"/>
      <c r="AI483" s="13"/>
      <c r="AJ483" s="3"/>
      <c r="AK483" s="3"/>
      <c r="AL483" s="13"/>
      <c r="AM483" s="13"/>
      <c r="AN483" s="13"/>
      <c r="AO483" s="13"/>
      <c r="AP483" s="13"/>
      <c r="AQ483" s="13"/>
      <c r="AR483" s="13"/>
      <c r="AS483" s="1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spans="1:67" x14ac:dyDescent="0.25">
      <c r="A484" s="11" t="s">
        <v>1351</v>
      </c>
      <c r="B484" s="60" t="s">
        <v>1327</v>
      </c>
      <c r="C484" s="62">
        <v>2012</v>
      </c>
      <c r="D484" s="1">
        <f t="shared" ref="D484:D489" si="121">Q484+E484</f>
        <v>0</v>
      </c>
      <c r="E484" s="283">
        <f>0</f>
        <v>0</v>
      </c>
      <c r="I484" s="261">
        <f>0</f>
        <v>0</v>
      </c>
      <c r="M484" s="228"/>
      <c r="N484" s="267">
        <f t="shared" si="119"/>
        <v>0</v>
      </c>
      <c r="P484" s="96">
        <f t="shared" ref="P484:P486" si="122">I484+J484+K484+L484+N484</f>
        <v>0</v>
      </c>
      <c r="Q484" s="97">
        <f t="shared" si="120"/>
        <v>0</v>
      </c>
      <c r="R484" s="228"/>
      <c r="S484" s="278"/>
      <c r="T484" s="278"/>
      <c r="U484" s="278"/>
      <c r="V484" s="278"/>
      <c r="W484" s="278"/>
      <c r="X484" s="278"/>
      <c r="Y484" s="278"/>
      <c r="Z484" s="120"/>
      <c r="AA484" s="96"/>
      <c r="AB484" s="97"/>
      <c r="AC484" s="22"/>
      <c r="AD484" s="278"/>
      <c r="AE484" s="278"/>
      <c r="AF484" s="278"/>
      <c r="AG484" s="278"/>
      <c r="AH484" s="278"/>
      <c r="AI484" s="120"/>
      <c r="AJ484" s="96"/>
      <c r="AK484" s="97"/>
      <c r="AL484" s="22"/>
      <c r="AM484" s="41"/>
      <c r="AN484" s="41"/>
      <c r="AO484" s="41"/>
      <c r="AP484" s="41"/>
      <c r="AQ484" s="41"/>
      <c r="AR484" s="41"/>
      <c r="AT484" s="95"/>
      <c r="AU484" s="96"/>
      <c r="AV484" s="97"/>
    </row>
    <row r="485" spans="1:67" x14ac:dyDescent="0.25">
      <c r="A485" s="11" t="s">
        <v>842</v>
      </c>
      <c r="B485" s="87" t="s">
        <v>85</v>
      </c>
      <c r="D485" s="1">
        <f t="shared" si="121"/>
        <v>0</v>
      </c>
      <c r="I485" s="261">
        <f>0</f>
        <v>0</v>
      </c>
      <c r="J485" s="261"/>
      <c r="K485" s="261"/>
      <c r="L485" s="261"/>
      <c r="M485" s="261"/>
      <c r="N485" s="267">
        <f t="shared" si="119"/>
        <v>0</v>
      </c>
      <c r="P485" s="96">
        <f t="shared" si="122"/>
        <v>0</v>
      </c>
      <c r="Q485" s="97">
        <f t="shared" si="120"/>
        <v>0</v>
      </c>
      <c r="R485" s="261"/>
    </row>
    <row r="486" spans="1:67" x14ac:dyDescent="0.25">
      <c r="A486" s="11" t="s">
        <v>1273</v>
      </c>
      <c r="B486" s="65" t="s">
        <v>697</v>
      </c>
      <c r="D486" s="1">
        <f t="shared" si="121"/>
        <v>5</v>
      </c>
      <c r="I486" s="261">
        <f>3</f>
        <v>3</v>
      </c>
      <c r="J486" s="246">
        <f>2</f>
        <v>2</v>
      </c>
      <c r="N486" s="267">
        <f t="shared" si="119"/>
        <v>0</v>
      </c>
      <c r="P486" s="96">
        <f t="shared" si="122"/>
        <v>5</v>
      </c>
      <c r="Q486" s="97">
        <f t="shared" si="120"/>
        <v>5</v>
      </c>
    </row>
    <row r="487" spans="1:67" x14ac:dyDescent="0.25">
      <c r="A487" s="12" t="s">
        <v>1416</v>
      </c>
      <c r="B487" s="12" t="s">
        <v>918</v>
      </c>
      <c r="C487" s="4">
        <v>2013</v>
      </c>
      <c r="D487" s="1">
        <f t="shared" si="121"/>
        <v>0</v>
      </c>
      <c r="E487" s="283">
        <f>0</f>
        <v>0</v>
      </c>
      <c r="F487" s="283"/>
      <c r="I487" s="283"/>
      <c r="J487" s="283"/>
      <c r="K487" s="283"/>
      <c r="L487" s="283"/>
      <c r="M487" s="283"/>
      <c r="N487" s="283"/>
      <c r="P487" s="96"/>
      <c r="Q487" s="97"/>
      <c r="R487" s="283"/>
    </row>
    <row r="488" spans="1:67" x14ac:dyDescent="0.25">
      <c r="A488" s="11" t="s">
        <v>1311</v>
      </c>
      <c r="B488" s="11" t="s">
        <v>0</v>
      </c>
      <c r="C488" s="3">
        <v>2013</v>
      </c>
      <c r="D488" s="1">
        <f t="shared" si="121"/>
        <v>30</v>
      </c>
      <c r="E488" s="283">
        <f>19</f>
        <v>19</v>
      </c>
      <c r="I488" s="261">
        <f>33</f>
        <v>33</v>
      </c>
      <c r="N488" s="267">
        <f t="shared" ref="N488" si="123">AB488</f>
        <v>0</v>
      </c>
      <c r="P488" s="96">
        <f t="shared" ref="P488" si="124">I488+J488+K488+L488+N488</f>
        <v>33</v>
      </c>
      <c r="Q488" s="97">
        <f t="shared" ref="Q488" si="125">IF(C488=2013, P488/3,P488)+O488</f>
        <v>11</v>
      </c>
      <c r="S488" s="278"/>
      <c r="T488" s="278"/>
      <c r="U488" s="278"/>
      <c r="V488" s="278"/>
      <c r="W488" s="278"/>
      <c r="X488" s="278"/>
      <c r="Y488" s="278"/>
      <c r="Z488" s="278"/>
      <c r="AE488" s="278"/>
      <c r="AF488" s="278"/>
      <c r="AG488" s="278"/>
      <c r="AH488" s="278"/>
      <c r="AI488" s="278"/>
      <c r="AL488" s="275"/>
      <c r="AM488" s="278"/>
      <c r="AN488" s="278"/>
      <c r="AO488" s="278"/>
      <c r="AP488" s="278"/>
      <c r="AQ488" s="278"/>
      <c r="AR488" s="278"/>
      <c r="AS488" s="275"/>
    </row>
    <row r="489" spans="1:67" x14ac:dyDescent="0.25">
      <c r="A489" s="11" t="s">
        <v>1424</v>
      </c>
      <c r="B489" s="71" t="s">
        <v>1336</v>
      </c>
      <c r="C489" s="62">
        <v>2010</v>
      </c>
      <c r="D489" s="1">
        <f t="shared" si="121"/>
        <v>20</v>
      </c>
      <c r="E489" s="283">
        <f>20</f>
        <v>20</v>
      </c>
      <c r="F489" s="278">
        <f>10</f>
        <v>10</v>
      </c>
      <c r="L489" s="241"/>
      <c r="M489" s="241"/>
      <c r="P489" s="96"/>
      <c r="Q489" s="97"/>
      <c r="R489" s="241"/>
      <c r="S489" s="278"/>
      <c r="T489" s="278"/>
      <c r="U489" s="278"/>
      <c r="V489" s="278"/>
      <c r="W489" s="278"/>
      <c r="X489" s="278"/>
      <c r="Y489" s="278"/>
      <c r="Z489" s="120"/>
      <c r="AA489" s="96"/>
      <c r="AB489" s="97"/>
      <c r="AC489" s="22"/>
      <c r="AD489" s="278"/>
      <c r="AE489" s="278"/>
      <c r="AF489" s="278"/>
      <c r="AG489" s="278"/>
      <c r="AH489" s="278"/>
      <c r="AI489" s="120"/>
      <c r="AJ489" s="96"/>
      <c r="AK489" s="97"/>
      <c r="AL489" s="22"/>
      <c r="AM489" s="278"/>
      <c r="AN489" s="278"/>
      <c r="AO489" s="278"/>
      <c r="AP489" s="278"/>
      <c r="AQ489" s="278"/>
      <c r="AR489" s="278"/>
      <c r="AS489" s="275"/>
      <c r="AT489" s="95"/>
      <c r="AU489" s="96"/>
      <c r="AV489" s="97"/>
    </row>
    <row r="490" spans="1:67" x14ac:dyDescent="0.25">
      <c r="A490" s="45" t="s">
        <v>1342</v>
      </c>
      <c r="B490" s="66" t="s">
        <v>1327</v>
      </c>
      <c r="C490" s="46">
        <v>2013</v>
      </c>
      <c r="D490" s="1">
        <f>Q490+F490+E490</f>
        <v>37.333333333333336</v>
      </c>
      <c r="E490" s="154">
        <f>24</f>
        <v>24</v>
      </c>
      <c r="F490" s="154"/>
      <c r="I490" s="154">
        <f>40</f>
        <v>40</v>
      </c>
      <c r="J490" s="154"/>
      <c r="K490" s="154"/>
      <c r="L490" s="154"/>
      <c r="M490" s="154"/>
      <c r="N490" s="267">
        <f>AB490</f>
        <v>0</v>
      </c>
      <c r="P490" s="96">
        <f>I490+J490+K490+L490+M490+N490</f>
        <v>40</v>
      </c>
      <c r="Q490" s="97">
        <f>IF(C490=2013, P490/3,P490)+O490</f>
        <v>13.333333333333334</v>
      </c>
      <c r="R490" s="154"/>
      <c r="Y490" s="261"/>
      <c r="Z490" s="152"/>
      <c r="AA490" s="96"/>
      <c r="AB490" s="97"/>
      <c r="AE490" s="261"/>
      <c r="AF490" s="261"/>
      <c r="AG490" s="261"/>
      <c r="AH490" s="261"/>
      <c r="AI490" s="120"/>
      <c r="AJ490" s="96"/>
      <c r="AK490" s="97"/>
      <c r="AL490" s="101"/>
      <c r="AM490" s="151"/>
      <c r="AN490" s="151"/>
      <c r="AO490" s="151"/>
      <c r="AP490" s="151"/>
      <c r="AQ490" s="151"/>
      <c r="AR490" s="151"/>
      <c r="AS490" s="260"/>
      <c r="AT490" s="95"/>
      <c r="AU490" s="96"/>
      <c r="AV490" s="97"/>
    </row>
    <row r="491" spans="1:67" x14ac:dyDescent="0.25">
      <c r="A491" s="11" t="s">
        <v>1433</v>
      </c>
      <c r="B491" s="60" t="s">
        <v>231</v>
      </c>
      <c r="C491" s="62">
        <v>2013</v>
      </c>
      <c r="D491" s="1">
        <f t="shared" ref="D491:D499" si="126">Q491+E491</f>
        <v>2</v>
      </c>
      <c r="E491" s="283">
        <f>0+2</f>
        <v>2</v>
      </c>
      <c r="F491" s="283"/>
      <c r="I491" s="283"/>
      <c r="J491" s="283"/>
      <c r="K491" s="283"/>
      <c r="L491" s="283"/>
      <c r="M491" s="283"/>
      <c r="N491" s="283"/>
      <c r="P491" s="96"/>
      <c r="Q491" s="97"/>
      <c r="R491" s="283"/>
      <c r="S491" s="283"/>
      <c r="T491" s="283"/>
      <c r="U491" s="283"/>
      <c r="V491" s="283"/>
      <c r="W491" s="283"/>
      <c r="X491" s="283"/>
      <c r="Y491" s="283"/>
      <c r="Z491" s="120"/>
      <c r="AA491" s="96"/>
      <c r="AB491" s="97"/>
      <c r="AC491" s="22"/>
      <c r="AD491" s="283"/>
      <c r="AE491" s="283"/>
      <c r="AF491" s="283"/>
      <c r="AG491" s="283"/>
      <c r="AH491" s="283"/>
      <c r="AI491" s="120"/>
      <c r="AJ491" s="96"/>
      <c r="AK491" s="97"/>
      <c r="AL491" s="22"/>
      <c r="AM491" s="41"/>
      <c r="AN491" s="41"/>
      <c r="AO491" s="41"/>
      <c r="AP491" s="41"/>
      <c r="AQ491" s="41"/>
      <c r="AR491" s="41"/>
      <c r="AT491" s="95"/>
      <c r="AU491" s="96"/>
      <c r="AV491" s="97"/>
    </row>
    <row r="492" spans="1:67" x14ac:dyDescent="0.25">
      <c r="A492" s="11" t="s">
        <v>1426</v>
      </c>
      <c r="B492" s="60" t="s">
        <v>0</v>
      </c>
      <c r="C492" s="62">
        <v>2013</v>
      </c>
      <c r="D492" s="1">
        <f t="shared" si="126"/>
        <v>19</v>
      </c>
      <c r="E492" s="283">
        <f>16+3</f>
        <v>19</v>
      </c>
      <c r="F492" s="283"/>
      <c r="I492" s="283"/>
      <c r="J492" s="283"/>
      <c r="K492" s="283"/>
      <c r="L492" s="283"/>
      <c r="M492" s="283"/>
      <c r="N492" s="283"/>
      <c r="P492" s="96"/>
      <c r="Q492" s="97"/>
      <c r="R492" s="283"/>
      <c r="S492" s="283"/>
      <c r="T492" s="283"/>
      <c r="U492" s="283"/>
      <c r="V492" s="283"/>
      <c r="W492" s="283"/>
      <c r="X492" s="283"/>
      <c r="Y492" s="283"/>
      <c r="Z492" s="120"/>
      <c r="AA492" s="96"/>
      <c r="AB492" s="97"/>
      <c r="AC492" s="22"/>
      <c r="AD492" s="283"/>
      <c r="AE492" s="283"/>
      <c r="AF492" s="283"/>
      <c r="AG492" s="283"/>
      <c r="AH492" s="283"/>
      <c r="AI492" s="120"/>
      <c r="AJ492" s="96"/>
      <c r="AK492" s="97"/>
      <c r="AL492" s="22"/>
      <c r="AM492" s="41"/>
      <c r="AN492" s="41"/>
      <c r="AO492" s="41"/>
      <c r="AP492" s="41"/>
      <c r="AQ492" s="41"/>
      <c r="AR492" s="41"/>
      <c r="AT492" s="95"/>
      <c r="AU492" s="96"/>
      <c r="AV492" s="97"/>
    </row>
    <row r="493" spans="1:67" ht="16.5" customHeight="1" x14ac:dyDescent="0.25">
      <c r="A493" s="11" t="s">
        <v>1429</v>
      </c>
      <c r="B493" s="11" t="s">
        <v>697</v>
      </c>
      <c r="C493" s="3">
        <v>2010</v>
      </c>
      <c r="D493" s="1">
        <f t="shared" si="126"/>
        <v>9</v>
      </c>
      <c r="E493" s="283">
        <f>9</f>
        <v>9</v>
      </c>
      <c r="F493" s="283"/>
      <c r="I493" s="283"/>
      <c r="J493" s="283"/>
      <c r="K493" s="283"/>
      <c r="L493" s="283"/>
      <c r="M493" s="283"/>
      <c r="N493" s="283"/>
      <c r="P493" s="96"/>
      <c r="Q493" s="97"/>
      <c r="R493" s="283"/>
      <c r="S493" s="283"/>
      <c r="T493" s="283"/>
      <c r="U493" s="283"/>
      <c r="V493" s="283"/>
      <c r="W493" s="283"/>
      <c r="X493" s="283"/>
      <c r="Y493" s="283"/>
      <c r="Z493" s="283"/>
      <c r="AE493" s="283"/>
      <c r="AF493" s="283"/>
      <c r="AG493" s="283"/>
      <c r="AH493" s="283"/>
      <c r="AI493" s="283"/>
      <c r="AL493" s="282"/>
      <c r="AM493" s="283"/>
      <c r="AN493" s="283"/>
      <c r="AO493" s="283"/>
      <c r="AP493" s="283"/>
      <c r="AQ493" s="283"/>
      <c r="AR493" s="283"/>
      <c r="AS493" s="282"/>
    </row>
    <row r="494" spans="1:67" ht="16.5" customHeight="1" x14ac:dyDescent="0.25">
      <c r="A494" s="53" t="s">
        <v>1354</v>
      </c>
      <c r="B494" s="11" t="s">
        <v>1336</v>
      </c>
      <c r="C494" s="54">
        <v>2010</v>
      </c>
      <c r="D494" s="1">
        <f t="shared" si="126"/>
        <v>23</v>
      </c>
      <c r="E494" s="283">
        <f>11</f>
        <v>11</v>
      </c>
      <c r="I494" s="261">
        <f>12</f>
        <v>12</v>
      </c>
      <c r="N494" s="267">
        <f t="shared" ref="N494" si="127">AB494</f>
        <v>0</v>
      </c>
      <c r="P494" s="96">
        <f t="shared" ref="P494" si="128">I494+J494+K494+L494+N494</f>
        <v>12</v>
      </c>
      <c r="Q494" s="97">
        <f t="shared" ref="Q494" si="129">IF(C494=2013, P494/3,P494)+O494</f>
        <v>12</v>
      </c>
      <c r="S494" s="278"/>
      <c r="T494" s="278"/>
      <c r="U494" s="278"/>
      <c r="V494" s="278"/>
      <c r="W494" s="278"/>
      <c r="X494" s="278"/>
      <c r="Y494" s="278"/>
      <c r="Z494" s="120"/>
      <c r="AA494" s="96"/>
      <c r="AB494" s="97"/>
      <c r="AC494" s="22"/>
      <c r="AD494" s="278"/>
      <c r="AE494" s="278"/>
      <c r="AF494" s="278"/>
      <c r="AG494" s="278"/>
      <c r="AH494" s="278"/>
      <c r="AI494" s="120"/>
      <c r="AJ494" s="96"/>
      <c r="AK494" s="97"/>
      <c r="AL494" s="22"/>
      <c r="AM494" s="41"/>
      <c r="AN494" s="41"/>
      <c r="AO494" s="41"/>
      <c r="AP494" s="41"/>
      <c r="AQ494" s="41"/>
      <c r="AR494" s="41"/>
      <c r="AS494" s="41"/>
      <c r="AT494" s="95"/>
      <c r="AU494" s="96"/>
      <c r="AV494" s="97"/>
    </row>
    <row r="495" spans="1:67" x14ac:dyDescent="0.25">
      <c r="A495" s="53" t="s">
        <v>1434</v>
      </c>
      <c r="B495" s="84" t="s">
        <v>0</v>
      </c>
      <c r="C495" s="54">
        <v>2013</v>
      </c>
      <c r="D495" s="1">
        <f t="shared" si="126"/>
        <v>4</v>
      </c>
      <c r="E495" s="283">
        <f>0+4</f>
        <v>4</v>
      </c>
      <c r="F495" s="283"/>
      <c r="I495" s="283"/>
      <c r="J495" s="283"/>
      <c r="K495" s="283"/>
      <c r="L495" s="283"/>
      <c r="M495" s="283"/>
      <c r="N495" s="283"/>
      <c r="P495" s="96"/>
      <c r="Q495" s="97"/>
      <c r="R495" s="283"/>
      <c r="S495" s="283"/>
      <c r="T495" s="283"/>
      <c r="U495" s="283"/>
      <c r="V495" s="283"/>
      <c r="W495" s="283"/>
      <c r="X495" s="283"/>
      <c r="Y495" s="283"/>
      <c r="Z495" s="120"/>
      <c r="AA495" s="96"/>
      <c r="AB495" s="97"/>
      <c r="AC495" s="22"/>
      <c r="AD495" s="283"/>
      <c r="AE495" s="283"/>
      <c r="AF495" s="283"/>
      <c r="AG495" s="283"/>
      <c r="AH495" s="283"/>
      <c r="AI495" s="120"/>
      <c r="AJ495" s="96"/>
      <c r="AK495" s="97"/>
      <c r="AL495" s="22"/>
      <c r="AM495" s="41"/>
      <c r="AN495" s="41"/>
      <c r="AO495" s="41"/>
      <c r="AP495" s="41"/>
      <c r="AQ495" s="41"/>
      <c r="AR495" s="41"/>
      <c r="AS495" s="41"/>
      <c r="AT495" s="95"/>
      <c r="AU495" s="96"/>
      <c r="AV495" s="97"/>
    </row>
    <row r="496" spans="1:67" x14ac:dyDescent="0.25">
      <c r="A496" s="53" t="s">
        <v>1430</v>
      </c>
      <c r="B496" s="84" t="s">
        <v>231</v>
      </c>
      <c r="C496" s="54">
        <v>2013</v>
      </c>
      <c r="D496" s="1">
        <f t="shared" si="126"/>
        <v>6</v>
      </c>
      <c r="E496" s="283">
        <f>4+2</f>
        <v>6</v>
      </c>
      <c r="F496" s="283"/>
      <c r="I496" s="283"/>
      <c r="J496" s="283"/>
      <c r="K496" s="283"/>
      <c r="L496" s="283"/>
      <c r="M496" s="283"/>
      <c r="N496" s="283"/>
      <c r="P496" s="96"/>
      <c r="Q496" s="97"/>
      <c r="R496" s="283"/>
      <c r="S496" s="283"/>
      <c r="T496" s="283"/>
      <c r="U496" s="283"/>
      <c r="V496" s="283"/>
      <c r="W496" s="283"/>
      <c r="X496" s="283"/>
      <c r="Y496" s="283"/>
      <c r="Z496" s="120"/>
      <c r="AA496" s="96"/>
      <c r="AB496" s="97"/>
      <c r="AC496" s="22"/>
      <c r="AD496" s="283"/>
      <c r="AE496" s="283"/>
      <c r="AF496" s="283"/>
      <c r="AG496" s="283"/>
      <c r="AH496" s="283"/>
      <c r="AI496" s="120"/>
      <c r="AJ496" s="96"/>
      <c r="AK496" s="97"/>
      <c r="AL496" s="22"/>
      <c r="AM496" s="41"/>
      <c r="AN496" s="41"/>
      <c r="AO496" s="41"/>
      <c r="AP496" s="41"/>
      <c r="AQ496" s="41"/>
      <c r="AR496" s="41"/>
      <c r="AS496" s="41"/>
      <c r="AT496" s="95"/>
      <c r="AU496" s="96"/>
      <c r="AV496" s="97"/>
    </row>
    <row r="497" spans="1:48" x14ac:dyDescent="0.25">
      <c r="A497" s="53" t="s">
        <v>1431</v>
      </c>
      <c r="B497" s="65" t="s">
        <v>0</v>
      </c>
      <c r="C497" s="54">
        <v>2012</v>
      </c>
      <c r="D497" s="1">
        <f t="shared" si="126"/>
        <v>4</v>
      </c>
      <c r="E497" s="283">
        <f>4</f>
        <v>4</v>
      </c>
      <c r="F497" s="283"/>
      <c r="I497" s="283"/>
      <c r="J497" s="283"/>
      <c r="K497" s="283"/>
      <c r="L497" s="283"/>
      <c r="M497" s="283"/>
      <c r="N497" s="283"/>
      <c r="P497" s="96"/>
      <c r="Q497" s="97"/>
      <c r="R497" s="283"/>
      <c r="S497" s="283"/>
      <c r="T497" s="283"/>
      <c r="U497" s="283"/>
      <c r="V497" s="283"/>
      <c r="W497" s="283"/>
      <c r="X497" s="283"/>
      <c r="Y497" s="283"/>
      <c r="Z497" s="120"/>
      <c r="AA497" s="96"/>
      <c r="AB497" s="97"/>
      <c r="AC497" s="22"/>
      <c r="AD497" s="283"/>
      <c r="AE497" s="283"/>
      <c r="AF497" s="283"/>
      <c r="AG497" s="283"/>
      <c r="AH497" s="283"/>
      <c r="AI497" s="120"/>
      <c r="AJ497" s="96"/>
      <c r="AK497" s="97"/>
      <c r="AL497" s="22"/>
      <c r="AM497" s="41"/>
      <c r="AN497" s="41"/>
      <c r="AO497" s="41"/>
      <c r="AP497" s="41"/>
      <c r="AQ497" s="41"/>
      <c r="AR497" s="41"/>
      <c r="AS497" s="41"/>
      <c r="AT497" s="95"/>
      <c r="AU497" s="96"/>
      <c r="AV497" s="97"/>
    </row>
    <row r="498" spans="1:48" x14ac:dyDescent="0.25">
      <c r="A498" s="53" t="s">
        <v>1425</v>
      </c>
      <c r="B498" s="84" t="s">
        <v>231</v>
      </c>
      <c r="C498" s="54">
        <v>2012</v>
      </c>
      <c r="D498" s="1">
        <f t="shared" si="126"/>
        <v>18</v>
      </c>
      <c r="E498" s="283">
        <f>18</f>
        <v>18</v>
      </c>
      <c r="F498" s="283"/>
      <c r="I498" s="283"/>
      <c r="J498" s="283"/>
      <c r="K498" s="283"/>
      <c r="L498" s="283"/>
      <c r="M498" s="283"/>
      <c r="N498" s="283"/>
      <c r="P498" s="96"/>
      <c r="Q498" s="97"/>
      <c r="R498" s="283"/>
      <c r="S498" s="283"/>
      <c r="T498" s="283"/>
      <c r="U498" s="283"/>
      <c r="V498" s="283"/>
      <c r="W498" s="283"/>
      <c r="X498" s="283"/>
      <c r="Y498" s="283"/>
      <c r="Z498" s="120"/>
      <c r="AA498" s="96"/>
      <c r="AB498" s="97"/>
      <c r="AC498" s="22"/>
      <c r="AD498" s="283"/>
      <c r="AE498" s="283"/>
      <c r="AF498" s="283"/>
      <c r="AG498" s="283"/>
      <c r="AH498" s="283"/>
      <c r="AI498" s="120"/>
      <c r="AJ498" s="96"/>
      <c r="AK498" s="97"/>
      <c r="AL498" s="22"/>
      <c r="AM498" s="41"/>
      <c r="AN498" s="41"/>
      <c r="AO498" s="41"/>
      <c r="AP498" s="41"/>
      <c r="AQ498" s="41"/>
      <c r="AR498" s="41"/>
      <c r="AS498" s="41"/>
      <c r="AT498" s="95"/>
      <c r="AU498" s="96"/>
      <c r="AV498" s="97"/>
    </row>
    <row r="499" spans="1:48" x14ac:dyDescent="0.25">
      <c r="A499" s="11" t="s">
        <v>1435</v>
      </c>
      <c r="B499" s="11" t="s">
        <v>63</v>
      </c>
      <c r="C499" s="62">
        <v>2012</v>
      </c>
      <c r="D499" s="1">
        <f t="shared" si="126"/>
        <v>0</v>
      </c>
      <c r="E499" s="283">
        <f>0</f>
        <v>0</v>
      </c>
      <c r="F499" s="283"/>
      <c r="I499" s="283"/>
      <c r="J499" s="283"/>
      <c r="K499" s="283"/>
      <c r="L499" s="283"/>
      <c r="M499" s="283"/>
      <c r="N499" s="283"/>
      <c r="P499" s="96"/>
      <c r="Q499" s="97"/>
      <c r="R499" s="283"/>
      <c r="S499" s="283"/>
      <c r="T499" s="283"/>
      <c r="U499" s="283"/>
      <c r="V499" s="283"/>
      <c r="W499" s="283"/>
      <c r="X499" s="283"/>
      <c r="Y499" s="283"/>
      <c r="Z499" s="152"/>
      <c r="AA499" s="96"/>
      <c r="AB499" s="97"/>
      <c r="AE499" s="283"/>
      <c r="AF499" s="283"/>
      <c r="AG499" s="283"/>
      <c r="AH499" s="283"/>
      <c r="AI499" s="120"/>
      <c r="AJ499" s="96"/>
      <c r="AK499" s="97"/>
      <c r="AL499" s="22"/>
      <c r="AM499" s="283"/>
      <c r="AN499" s="283"/>
      <c r="AO499" s="283"/>
      <c r="AP499" s="283"/>
      <c r="AQ499" s="283"/>
      <c r="AR499" s="283"/>
      <c r="AS499" s="282"/>
      <c r="AT499" s="95"/>
      <c r="AU499" s="96"/>
      <c r="AV499" s="97"/>
    </row>
  </sheetData>
  <autoFilter ref="B1:B499" xr:uid="{00000000-0001-0000-0300-000000000000}"/>
  <sortState xmlns:xlrd2="http://schemas.microsoft.com/office/spreadsheetml/2017/richdata2" ref="A37:BO470">
    <sortCondition ref="A470"/>
  </sortState>
  <mergeCells count="8">
    <mergeCell ref="A471:C471"/>
    <mergeCell ref="A5:C5"/>
    <mergeCell ref="A36:C36"/>
    <mergeCell ref="A1:C2"/>
    <mergeCell ref="AM3:AS3"/>
    <mergeCell ref="AD3:AH3"/>
    <mergeCell ref="W3:X3"/>
    <mergeCell ref="I3:M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O327"/>
  <sheetViews>
    <sheetView zoomScale="106" zoomScaleNormal="106" workbookViewId="0">
      <pane xSplit="4" ySplit="4" topLeftCell="E29" activePane="bottomRight" state="frozen"/>
      <selection pane="topRight" activeCell="E1" sqref="E1"/>
      <selection pane="bottomLeft" activeCell="A3" sqref="A3"/>
      <selection pane="bottomRight" activeCell="E15" sqref="E15"/>
    </sheetView>
  </sheetViews>
  <sheetFormatPr defaultRowHeight="15" x14ac:dyDescent="0.25"/>
  <cols>
    <col min="1" max="1" width="19.7109375" style="11" bestFit="1" customWidth="1"/>
    <col min="2" max="2" width="23.85546875" style="12" bestFit="1" customWidth="1"/>
    <col min="3" max="3" width="8.140625" style="3" bestFit="1" customWidth="1"/>
    <col min="4" max="4" width="12.140625" style="7" customWidth="1"/>
    <col min="5" max="5" width="12.28515625" style="283" customWidth="1"/>
    <col min="6" max="6" width="12.28515625" style="278" customWidth="1"/>
    <col min="7" max="7" width="12.28515625" style="120" customWidth="1"/>
    <col min="8" max="8" width="2.7109375" style="13" customWidth="1"/>
    <col min="9" max="9" width="12.28515625" style="261" customWidth="1"/>
    <col min="10" max="10" width="12.28515625" style="246" customWidth="1"/>
    <col min="11" max="11" width="12.28515625" style="241" customWidth="1"/>
    <col min="12" max="12" width="12.28515625" style="228" customWidth="1"/>
    <col min="13" max="13" width="12.28515625" style="215" customWidth="1"/>
    <col min="14" max="14" width="12.28515625" style="267" customWidth="1"/>
    <col min="15" max="15" width="11" style="215" customWidth="1"/>
    <col min="16" max="17" width="9.140625" style="3"/>
    <col min="18" max="18" width="2.85546875" style="215" customWidth="1"/>
    <col min="19" max="25" width="12.42578125" style="13" customWidth="1"/>
    <col min="26" max="26" width="10.28515625" style="13" customWidth="1"/>
    <col min="27" max="28" width="9.140625" style="3"/>
    <col min="29" max="29" width="3.42578125" style="13" customWidth="1"/>
    <col min="30" max="30" width="12.42578125" style="13" customWidth="1"/>
    <col min="31" max="35" width="10.28515625" style="13" customWidth="1"/>
    <col min="36" max="37" width="9.140625" style="3"/>
    <col min="38" max="38" width="3.42578125" style="13" customWidth="1"/>
    <col min="39" max="39" width="8.85546875" style="13" customWidth="1"/>
    <col min="40" max="42" width="11.7109375" style="13" customWidth="1"/>
    <col min="43" max="43" width="12.5703125" style="13" customWidth="1"/>
    <col min="44" max="44" width="11.7109375" style="13" customWidth="1"/>
    <col min="45" max="45" width="8.85546875" style="13" customWidth="1"/>
    <col min="46" max="46" width="10.85546875" style="3" customWidth="1"/>
    <col min="47" max="16384" width="9.140625" style="3"/>
  </cols>
  <sheetData>
    <row r="1" spans="1:67" ht="15" customHeight="1" x14ac:dyDescent="0.5">
      <c r="A1" s="296" t="s">
        <v>60</v>
      </c>
      <c r="B1" s="297"/>
      <c r="C1" s="297"/>
      <c r="D1" s="55"/>
      <c r="E1" s="271"/>
      <c r="F1" s="271"/>
      <c r="G1" s="102"/>
      <c r="H1" s="211"/>
      <c r="I1" s="102"/>
      <c r="J1" s="102"/>
      <c r="K1" s="102"/>
      <c r="L1" s="102"/>
      <c r="M1" s="102"/>
      <c r="N1" s="102"/>
      <c r="O1" s="102"/>
      <c r="R1" s="102"/>
      <c r="S1" s="55"/>
      <c r="T1" s="55"/>
      <c r="U1" s="55"/>
      <c r="V1" s="55"/>
      <c r="W1" s="55"/>
      <c r="X1" s="55"/>
      <c r="Y1" s="55"/>
      <c r="Z1" s="55"/>
      <c r="AC1" s="55"/>
      <c r="AD1" s="55"/>
      <c r="AE1" s="55"/>
      <c r="AF1" s="55"/>
      <c r="AG1" s="55"/>
      <c r="AH1" s="55"/>
      <c r="AI1" s="55"/>
      <c r="AL1" s="55"/>
      <c r="AM1" s="55"/>
      <c r="AN1" s="55"/>
      <c r="AO1" s="55"/>
      <c r="AP1" s="55"/>
      <c r="AQ1" s="55"/>
      <c r="AR1" s="55"/>
      <c r="AS1" s="55"/>
    </row>
    <row r="2" spans="1:67" ht="15" customHeight="1" x14ac:dyDescent="0.5">
      <c r="A2" s="298"/>
      <c r="B2" s="299"/>
      <c r="C2" s="299"/>
      <c r="D2" s="55"/>
      <c r="E2" s="272"/>
      <c r="F2" s="272"/>
      <c r="G2" s="103"/>
      <c r="H2" s="212"/>
      <c r="I2" s="103"/>
      <c r="J2" s="103"/>
      <c r="K2" s="103"/>
      <c r="L2" s="103"/>
      <c r="M2" s="103"/>
      <c r="N2" s="103"/>
      <c r="O2" s="103"/>
      <c r="R2" s="103"/>
      <c r="S2" s="55"/>
      <c r="T2" s="55"/>
      <c r="U2" s="55"/>
      <c r="V2" s="55"/>
      <c r="W2" s="55"/>
      <c r="X2" s="55"/>
      <c r="Y2" s="55"/>
      <c r="Z2" s="55"/>
      <c r="AC2" s="55"/>
      <c r="AD2" s="55"/>
      <c r="AE2" s="55"/>
      <c r="AF2" s="55"/>
      <c r="AG2" s="55"/>
      <c r="AH2" s="55"/>
      <c r="AI2" s="55"/>
      <c r="AL2" s="55"/>
      <c r="AM2" s="55"/>
      <c r="AN2" s="55"/>
      <c r="AO2" s="55"/>
      <c r="AP2" s="55"/>
      <c r="AQ2" s="55"/>
      <c r="AR2" s="55"/>
      <c r="AS2" s="55"/>
    </row>
    <row r="3" spans="1:67" x14ac:dyDescent="0.25">
      <c r="D3" s="13"/>
      <c r="E3" s="282"/>
      <c r="F3" s="275"/>
      <c r="G3" s="275"/>
      <c r="H3" s="279"/>
      <c r="I3" s="13"/>
      <c r="J3" s="13"/>
      <c r="K3" s="13"/>
      <c r="L3" s="302">
        <v>2025</v>
      </c>
      <c r="M3" s="303"/>
      <c r="N3" s="274"/>
      <c r="P3" s="6"/>
      <c r="Q3" s="6"/>
      <c r="R3" s="36"/>
      <c r="S3" s="202"/>
      <c r="T3" s="193"/>
      <c r="U3" s="184"/>
      <c r="V3" s="169"/>
      <c r="W3" s="309">
        <v>2024</v>
      </c>
      <c r="X3" s="309"/>
      <c r="Y3" s="214"/>
      <c r="Z3" s="143"/>
      <c r="AA3" s="6"/>
      <c r="AB3" s="6"/>
      <c r="AC3" s="98"/>
      <c r="AD3" s="309">
        <v>2023</v>
      </c>
      <c r="AE3" s="309"/>
      <c r="AF3" s="309"/>
      <c r="AG3" s="309"/>
      <c r="AH3" s="309"/>
      <c r="AI3" s="310"/>
      <c r="AL3" s="98"/>
      <c r="AM3" s="308">
        <v>2022</v>
      </c>
      <c r="AN3" s="309"/>
      <c r="AO3" s="309"/>
      <c r="AP3" s="309"/>
      <c r="AQ3" s="309"/>
      <c r="AR3" s="309"/>
      <c r="AS3" s="310"/>
    </row>
    <row r="4" spans="1:67" s="5" customFormat="1" ht="107.25" customHeight="1" x14ac:dyDescent="0.25">
      <c r="A4" s="5" t="s">
        <v>1</v>
      </c>
      <c r="B4" s="10" t="s">
        <v>2</v>
      </c>
      <c r="C4" s="5" t="s">
        <v>3</v>
      </c>
      <c r="D4" s="49" t="s">
        <v>1399</v>
      </c>
      <c r="E4" s="281" t="s">
        <v>1398</v>
      </c>
      <c r="F4" s="281" t="s">
        <v>1363</v>
      </c>
      <c r="G4" s="273" t="s">
        <v>5</v>
      </c>
      <c r="H4" s="68"/>
      <c r="I4" s="270" t="s">
        <v>1285</v>
      </c>
      <c r="J4" s="249" t="s">
        <v>1260</v>
      </c>
      <c r="K4" s="249" t="s">
        <v>1208</v>
      </c>
      <c r="L4" s="233" t="s">
        <v>1078</v>
      </c>
      <c r="M4" s="226" t="s">
        <v>4</v>
      </c>
      <c r="N4" s="221" t="s">
        <v>543</v>
      </c>
      <c r="O4" s="119" t="s">
        <v>5</v>
      </c>
      <c r="P4" s="96" t="s">
        <v>1362</v>
      </c>
      <c r="Q4" s="97" t="s">
        <v>541</v>
      </c>
      <c r="R4" s="226"/>
      <c r="S4" s="206" t="s">
        <v>460</v>
      </c>
      <c r="T4" s="197" t="s">
        <v>390</v>
      </c>
      <c r="U4" s="157" t="s">
        <v>227</v>
      </c>
      <c r="V4" s="157" t="s">
        <v>870</v>
      </c>
      <c r="W4" s="147" t="s">
        <v>291</v>
      </c>
      <c r="X4" s="147" t="s">
        <v>4</v>
      </c>
      <c r="Y4" s="221" t="s">
        <v>543</v>
      </c>
      <c r="Z4" s="95" t="s">
        <v>5</v>
      </c>
      <c r="AA4" s="96" t="s">
        <v>1061</v>
      </c>
      <c r="AB4" s="97" t="s">
        <v>541</v>
      </c>
      <c r="AC4" s="142"/>
      <c r="AD4" s="137" t="s">
        <v>390</v>
      </c>
      <c r="AE4" s="133" t="s">
        <v>227</v>
      </c>
      <c r="AF4" s="127" t="s">
        <v>291</v>
      </c>
      <c r="AG4" s="127" t="s">
        <v>4</v>
      </c>
      <c r="AH4" s="105" t="s">
        <v>543</v>
      </c>
      <c r="AI4" s="95" t="s">
        <v>5</v>
      </c>
      <c r="AJ4" s="96" t="s">
        <v>754</v>
      </c>
      <c r="AK4" s="97" t="s">
        <v>541</v>
      </c>
      <c r="AL4" s="90"/>
      <c r="AM4" s="44" t="s">
        <v>4</v>
      </c>
      <c r="AN4" s="59" t="s">
        <v>62</v>
      </c>
      <c r="AO4" s="73" t="s">
        <v>227</v>
      </c>
      <c r="AP4" s="79" t="s">
        <v>291</v>
      </c>
      <c r="AQ4" s="81" t="s">
        <v>390</v>
      </c>
      <c r="AR4" s="93" t="s">
        <v>460</v>
      </c>
      <c r="AS4" s="33" t="s">
        <v>34</v>
      </c>
      <c r="AT4" s="95" t="s">
        <v>5</v>
      </c>
      <c r="AU4" s="96" t="s">
        <v>540</v>
      </c>
      <c r="AV4" s="97" t="s">
        <v>541</v>
      </c>
    </row>
    <row r="5" spans="1:67" s="17" customFormat="1" x14ac:dyDescent="0.25">
      <c r="A5" s="304" t="s">
        <v>13</v>
      </c>
      <c r="B5" s="305"/>
      <c r="C5" s="306"/>
      <c r="D5" s="112"/>
      <c r="E5" s="283"/>
      <c r="F5" s="278"/>
      <c r="G5" s="120"/>
      <c r="H5" s="280"/>
      <c r="I5" s="261"/>
      <c r="J5" s="246"/>
      <c r="K5" s="241"/>
      <c r="L5" s="228"/>
      <c r="M5" s="215"/>
      <c r="N5" s="267"/>
      <c r="O5" s="120"/>
      <c r="P5" s="96"/>
      <c r="Q5" s="97"/>
      <c r="R5" s="215"/>
      <c r="S5" s="200"/>
      <c r="T5" s="191"/>
      <c r="U5" s="182"/>
      <c r="V5" s="166"/>
      <c r="W5" s="160"/>
      <c r="X5" s="141"/>
      <c r="Y5" s="213"/>
      <c r="Z5" s="141"/>
      <c r="AA5" s="96"/>
      <c r="AB5" s="97"/>
      <c r="AC5" s="141"/>
      <c r="AD5" s="135"/>
      <c r="AE5" s="131"/>
      <c r="AF5" s="114"/>
      <c r="AG5" s="112"/>
      <c r="AH5" s="112"/>
      <c r="AI5" s="112"/>
      <c r="AJ5" s="68"/>
      <c r="AK5" s="68"/>
      <c r="AL5" s="112"/>
      <c r="AM5" s="112"/>
      <c r="AN5" s="112"/>
      <c r="AO5" s="112"/>
      <c r="AP5" s="112"/>
      <c r="AQ5" s="112"/>
      <c r="AR5" s="112"/>
      <c r="AS5" s="112"/>
      <c r="AT5" s="68"/>
      <c r="AU5" s="68"/>
      <c r="AV5" s="68"/>
    </row>
    <row r="6" spans="1:67" x14ac:dyDescent="0.25">
      <c r="A6" s="11" t="s">
        <v>264</v>
      </c>
      <c r="B6" s="12" t="s">
        <v>0</v>
      </c>
      <c r="C6" s="3">
        <v>2012</v>
      </c>
      <c r="D6" s="2">
        <f>Q6+F6+E6</f>
        <v>453.33333333333331</v>
      </c>
      <c r="E6" s="283">
        <f>9+27</f>
        <v>36</v>
      </c>
      <c r="H6" s="280"/>
      <c r="I6" s="261">
        <f>0+21</f>
        <v>21</v>
      </c>
      <c r="J6" s="246">
        <f>9+30</f>
        <v>39</v>
      </c>
      <c r="K6" s="241">
        <f>12+15</f>
        <v>27</v>
      </c>
      <c r="L6" s="228">
        <f>3+18</f>
        <v>21</v>
      </c>
      <c r="N6" s="267">
        <f t="shared" ref="N6:N7" si="0">AB6</f>
        <v>309.33333333333331</v>
      </c>
      <c r="O6" s="120"/>
      <c r="P6" s="96">
        <f t="shared" ref="P6:P7" si="1">I6+J6+K6+L6+M6+N6</f>
        <v>417.33333333333331</v>
      </c>
      <c r="Q6" s="97">
        <f t="shared" ref="Q6:Q7" si="2">IF(C6=2013, P6/3,P6)+O6</f>
        <v>417.33333333333331</v>
      </c>
      <c r="S6" s="108"/>
      <c r="T6" s="108">
        <f>18+15</f>
        <v>33</v>
      </c>
      <c r="U6" s="108">
        <f>6+15+6+3</f>
        <v>30</v>
      </c>
      <c r="V6" s="108">
        <f>9+21+6+9</f>
        <v>45</v>
      </c>
      <c r="W6" s="108">
        <f>12+12+15+9</f>
        <v>48</v>
      </c>
      <c r="X6" s="108">
        <f>9+3+3</f>
        <v>15</v>
      </c>
      <c r="Y6" s="108">
        <f>AK6</f>
        <v>757</v>
      </c>
      <c r="Z6" s="122"/>
      <c r="AA6" s="96">
        <f>S6+T6+U6+V6+W6+X6+Y6</f>
        <v>928</v>
      </c>
      <c r="AB6" s="97">
        <f>IF(C6=2012, AA6/3,AA6)+Z6</f>
        <v>309.33333333333331</v>
      </c>
      <c r="AC6" s="139"/>
      <c r="AD6" s="108">
        <f>12+12</f>
        <v>24</v>
      </c>
      <c r="AE6" s="108">
        <f>18</f>
        <v>18</v>
      </c>
      <c r="AF6" s="108">
        <f>147+75</f>
        <v>222</v>
      </c>
      <c r="AG6" s="108">
        <f>18+57+3+3</f>
        <v>81</v>
      </c>
      <c r="AH6" s="108">
        <f>AV6</f>
        <v>412</v>
      </c>
      <c r="AI6" s="122"/>
      <c r="AJ6" s="96">
        <f>SUM(AD6:AH6)</f>
        <v>757</v>
      </c>
      <c r="AK6" s="97">
        <f>IF(C6=2016, AJ6/3,AJ6)+AI6</f>
        <v>757</v>
      </c>
      <c r="AL6" s="91"/>
      <c r="AO6" s="13">
        <f>21+15</f>
        <v>36</v>
      </c>
      <c r="AP6" s="13">
        <f>36+24</f>
        <v>60</v>
      </c>
      <c r="AQ6" s="13">
        <f>12+45</f>
        <v>57</v>
      </c>
      <c r="AR6" s="13">
        <f>30+72+3+3</f>
        <v>108</v>
      </c>
      <c r="AS6" s="13">
        <f>151</f>
        <v>151</v>
      </c>
      <c r="AT6" s="95"/>
      <c r="AU6" s="96">
        <f>SUM(AM6:AS6)</f>
        <v>412</v>
      </c>
      <c r="AV6" s="97">
        <f>IF(C6=2015, AU6/3,AU6)+AT6</f>
        <v>412</v>
      </c>
    </row>
    <row r="7" spans="1:67" s="17" customFormat="1" x14ac:dyDescent="0.25">
      <c r="A7" s="304" t="s">
        <v>14</v>
      </c>
      <c r="B7" s="305"/>
      <c r="C7" s="306"/>
      <c r="D7" s="2"/>
      <c r="E7" s="283"/>
      <c r="F7" s="278"/>
      <c r="G7" s="120"/>
      <c r="H7" s="280"/>
      <c r="I7" s="261"/>
      <c r="J7" s="246"/>
      <c r="K7" s="241"/>
      <c r="L7" s="228"/>
      <c r="M7" s="215"/>
      <c r="N7" s="267">
        <f t="shared" si="0"/>
        <v>0</v>
      </c>
      <c r="O7" s="152"/>
      <c r="P7" s="96">
        <f t="shared" si="1"/>
        <v>0</v>
      </c>
      <c r="Q7" s="97">
        <f t="shared" si="2"/>
        <v>0</v>
      </c>
      <c r="R7" s="215"/>
      <c r="S7" s="200"/>
      <c r="T7" s="191"/>
      <c r="U7" s="182"/>
      <c r="V7" s="166"/>
      <c r="W7" s="160"/>
      <c r="X7" s="141"/>
      <c r="Y7" s="108"/>
      <c r="Z7" s="141"/>
      <c r="AA7" s="96"/>
      <c r="AB7" s="97"/>
      <c r="AC7" s="141"/>
      <c r="AD7" s="135"/>
      <c r="AE7" s="131"/>
      <c r="AF7" s="114"/>
      <c r="AG7" s="112"/>
      <c r="AH7" s="112"/>
      <c r="AI7" s="112"/>
      <c r="AJ7" s="68"/>
      <c r="AK7" s="68"/>
      <c r="AL7" s="112"/>
      <c r="AM7" s="112"/>
      <c r="AN7" s="112"/>
      <c r="AO7" s="112"/>
      <c r="AP7" s="112"/>
      <c r="AQ7" s="112"/>
      <c r="AR7" s="112"/>
      <c r="AS7" s="112"/>
      <c r="AT7" s="68"/>
      <c r="AU7" s="68"/>
      <c r="AV7" s="68"/>
    </row>
    <row r="8" spans="1:67" s="17" customFormat="1" x14ac:dyDescent="0.25">
      <c r="A8" s="76" t="s">
        <v>526</v>
      </c>
      <c r="B8" s="71" t="s">
        <v>7</v>
      </c>
      <c r="C8" s="3">
        <v>2010</v>
      </c>
      <c r="D8" s="2">
        <f t="shared" ref="D8:D47" si="3">Q8+F8+E8</f>
        <v>1</v>
      </c>
      <c r="E8" s="283"/>
      <c r="F8" s="278"/>
      <c r="G8" s="120"/>
      <c r="H8" s="280"/>
      <c r="I8" s="261"/>
      <c r="J8" s="246"/>
      <c r="K8" s="241"/>
      <c r="L8" s="228"/>
      <c r="M8" s="215"/>
      <c r="N8" s="267">
        <f t="shared" ref="N8:N47" si="4">AB8</f>
        <v>1</v>
      </c>
      <c r="O8" s="120"/>
      <c r="P8" s="96">
        <f t="shared" ref="P8:P47" si="5">I8+J8+K8+L8+M8+N8</f>
        <v>1</v>
      </c>
      <c r="Q8" s="97">
        <f t="shared" ref="Q8:Q47" si="6">IF(C8=2013, P8/3,P8)+O8</f>
        <v>1</v>
      </c>
      <c r="R8" s="215"/>
      <c r="S8" s="108"/>
      <c r="T8" s="108"/>
      <c r="U8" s="108"/>
      <c r="V8" s="108"/>
      <c r="W8" s="108"/>
      <c r="X8" s="108"/>
      <c r="Y8" s="108">
        <f t="shared" ref="Y8:Y13" si="7">AK8</f>
        <v>1</v>
      </c>
      <c r="Z8" s="122"/>
      <c r="AA8" s="96">
        <f t="shared" ref="AA8:AA13" si="8">S8+T8+U8+V8+W8+X8+Y8</f>
        <v>1</v>
      </c>
      <c r="AB8" s="97">
        <f>IF(C8=2012, AA8/3,AA8)+Z8</f>
        <v>1</v>
      </c>
      <c r="AC8" s="141"/>
      <c r="AD8" s="108"/>
      <c r="AE8" s="108"/>
      <c r="AF8" s="108">
        <f>0</f>
        <v>0</v>
      </c>
      <c r="AG8" s="108">
        <f>1</f>
        <v>1</v>
      </c>
      <c r="AH8" s="108"/>
      <c r="AI8" s="122"/>
      <c r="AJ8" s="96">
        <f t="shared" ref="AJ8:AJ13" si="9">SUM(AD8:AH8)</f>
        <v>1</v>
      </c>
      <c r="AK8" s="97">
        <f>IF(C8=2011, AJ8/3,AJ8)+AI8</f>
        <v>1</v>
      </c>
      <c r="AL8" s="91"/>
      <c r="AM8" s="41"/>
      <c r="AN8" s="41"/>
      <c r="AO8" s="41"/>
      <c r="AP8" s="41"/>
      <c r="AQ8" s="41"/>
      <c r="AR8" s="41">
        <f>2</f>
        <v>2</v>
      </c>
      <c r="AS8" s="41"/>
      <c r="AT8" s="95"/>
      <c r="AU8" s="96">
        <f>SUM(AM8:AS8)</f>
        <v>2</v>
      </c>
      <c r="AV8" s="97">
        <f>IF(C8=2010, AU8/3,AU8)+AT8</f>
        <v>0.66666666666666663</v>
      </c>
    </row>
    <row r="9" spans="1:67" x14ac:dyDescent="0.25">
      <c r="A9" s="11" t="s">
        <v>267</v>
      </c>
      <c r="B9" s="12" t="s">
        <v>6</v>
      </c>
      <c r="C9" s="3">
        <v>2013</v>
      </c>
      <c r="D9" s="2">
        <f t="shared" si="3"/>
        <v>19.666666666666668</v>
      </c>
      <c r="H9" s="280"/>
      <c r="N9" s="267">
        <f t="shared" si="4"/>
        <v>59</v>
      </c>
      <c r="O9" s="152"/>
      <c r="P9" s="96">
        <f t="shared" si="5"/>
        <v>59</v>
      </c>
      <c r="Q9" s="97">
        <f t="shared" si="6"/>
        <v>19.666666666666668</v>
      </c>
      <c r="S9" s="108"/>
      <c r="T9" s="108"/>
      <c r="U9" s="108"/>
      <c r="V9" s="108"/>
      <c r="W9" s="108"/>
      <c r="X9" s="108"/>
      <c r="Y9" s="108">
        <f t="shared" si="7"/>
        <v>59</v>
      </c>
      <c r="Z9" s="122"/>
      <c r="AA9" s="96">
        <f t="shared" si="8"/>
        <v>59</v>
      </c>
      <c r="AB9" s="97">
        <f>IF(C9=2017, AA9/3,AA9)+Z9</f>
        <v>59</v>
      </c>
      <c r="AC9" s="139"/>
      <c r="AD9" s="108"/>
      <c r="AE9" s="108"/>
      <c r="AF9" s="108">
        <f>32</f>
        <v>32</v>
      </c>
      <c r="AG9" s="108">
        <f>0</f>
        <v>0</v>
      </c>
      <c r="AH9" s="108">
        <f>AV9</f>
        <v>27</v>
      </c>
      <c r="AI9" s="122"/>
      <c r="AJ9" s="96">
        <f t="shared" si="9"/>
        <v>59</v>
      </c>
      <c r="AK9" s="97">
        <f>IF(C9=2016, AJ9/3,AJ9)+AI9</f>
        <v>59</v>
      </c>
      <c r="AL9" s="91"/>
      <c r="AO9" s="13">
        <f>6</f>
        <v>6</v>
      </c>
      <c r="AQ9" s="13">
        <f>4</f>
        <v>4</v>
      </c>
      <c r="AR9" s="13">
        <f>0</f>
        <v>0</v>
      </c>
      <c r="AS9" s="13">
        <f>17</f>
        <v>17</v>
      </c>
      <c r="AT9" s="95"/>
      <c r="AU9" s="96">
        <f>SUM(AM9:AS9)</f>
        <v>27</v>
      </c>
      <c r="AV9" s="97">
        <f>IF(C9=2015, AU9/3,AU9)+AT9</f>
        <v>27</v>
      </c>
    </row>
    <row r="10" spans="1:67" x14ac:dyDescent="0.25">
      <c r="A10" s="11" t="s">
        <v>27</v>
      </c>
      <c r="B10" s="12" t="s">
        <v>6</v>
      </c>
      <c r="C10" s="3">
        <v>2010</v>
      </c>
      <c r="D10" s="2">
        <f t="shared" si="3"/>
        <v>186</v>
      </c>
      <c r="E10" s="154"/>
      <c r="F10" s="154"/>
      <c r="H10" s="280"/>
      <c r="N10" s="267">
        <f t="shared" si="4"/>
        <v>186</v>
      </c>
      <c r="O10" s="152"/>
      <c r="P10" s="96">
        <f t="shared" si="5"/>
        <v>186</v>
      </c>
      <c r="Q10" s="97">
        <f t="shared" si="6"/>
        <v>186</v>
      </c>
      <c r="S10" s="108"/>
      <c r="T10" s="108"/>
      <c r="U10" s="108"/>
      <c r="V10" s="108"/>
      <c r="W10" s="108"/>
      <c r="X10" s="108"/>
      <c r="Y10" s="108">
        <f t="shared" si="7"/>
        <v>186</v>
      </c>
      <c r="Z10" s="122"/>
      <c r="AA10" s="96">
        <f t="shared" si="8"/>
        <v>186</v>
      </c>
      <c r="AB10" s="97">
        <f>IF(C10=2012, AA10/3,AA10)+Z10</f>
        <v>186</v>
      </c>
      <c r="AC10" s="141"/>
      <c r="AD10" s="108"/>
      <c r="AE10" s="108"/>
      <c r="AF10" s="108"/>
      <c r="AG10" s="108"/>
      <c r="AH10" s="108">
        <f>AV10</f>
        <v>186</v>
      </c>
      <c r="AI10" s="122"/>
      <c r="AJ10" s="96">
        <f t="shared" si="9"/>
        <v>186</v>
      </c>
      <c r="AK10" s="97">
        <f>IF(C10=2011, AJ10/3,AJ10)+AI10</f>
        <v>186</v>
      </c>
      <c r="AL10" s="91"/>
      <c r="AM10" s="41">
        <f>6</f>
        <v>6</v>
      </c>
      <c r="AN10" s="41"/>
      <c r="AO10" s="41">
        <f>18+12</f>
        <v>30</v>
      </c>
      <c r="AP10" s="41">
        <f>27+15</f>
        <v>42</v>
      </c>
      <c r="AQ10" s="41"/>
      <c r="AR10" s="41"/>
      <c r="AS10" s="41">
        <v>480</v>
      </c>
      <c r="AT10" s="95"/>
      <c r="AU10" s="96">
        <f>SUM(AM10:AS10)</f>
        <v>558</v>
      </c>
      <c r="AV10" s="97">
        <f>IF(C10=2010, AU10/3,AU10)+AT10</f>
        <v>186</v>
      </c>
    </row>
    <row r="11" spans="1:67" s="17" customFormat="1" x14ac:dyDescent="0.25">
      <c r="A11" s="76" t="s">
        <v>750</v>
      </c>
      <c r="B11" s="71" t="s">
        <v>231</v>
      </c>
      <c r="C11" s="3">
        <v>2013</v>
      </c>
      <c r="D11" s="2">
        <f t="shared" si="3"/>
        <v>0</v>
      </c>
      <c r="E11" s="283"/>
      <c r="F11" s="278"/>
      <c r="G11" s="120"/>
      <c r="H11" s="280"/>
      <c r="I11" s="261"/>
      <c r="J11" s="246"/>
      <c r="K11" s="241"/>
      <c r="L11" s="228"/>
      <c r="M11" s="215"/>
      <c r="N11" s="267">
        <f t="shared" si="4"/>
        <v>0</v>
      </c>
      <c r="O11" s="120"/>
      <c r="P11" s="96">
        <f t="shared" si="5"/>
        <v>0</v>
      </c>
      <c r="Q11" s="97">
        <f t="shared" si="6"/>
        <v>0</v>
      </c>
      <c r="R11" s="215"/>
      <c r="S11" s="108"/>
      <c r="T11" s="108"/>
      <c r="U11" s="108"/>
      <c r="V11" s="108"/>
      <c r="W11" s="108"/>
      <c r="X11" s="108"/>
      <c r="Y11" s="108">
        <f t="shared" si="7"/>
        <v>0</v>
      </c>
      <c r="Z11" s="122"/>
      <c r="AA11" s="96">
        <f t="shared" si="8"/>
        <v>0</v>
      </c>
      <c r="AB11" s="97">
        <f>IF(C11=2017, AA11/3,AA11)+Z11</f>
        <v>0</v>
      </c>
      <c r="AC11" s="139"/>
      <c r="AD11" s="108">
        <f>0</f>
        <v>0</v>
      </c>
      <c r="AE11" s="108"/>
      <c r="AF11" s="108"/>
      <c r="AG11" s="108"/>
      <c r="AH11" s="108"/>
      <c r="AI11" s="122"/>
      <c r="AJ11" s="96">
        <f t="shared" si="9"/>
        <v>0</v>
      </c>
      <c r="AK11" s="97">
        <f>IF(C11=2016, AJ11/3,AJ11)+AI11</f>
        <v>0</v>
      </c>
      <c r="AL11" s="135"/>
      <c r="AM11" s="41"/>
      <c r="AN11" s="41"/>
      <c r="AO11" s="41"/>
      <c r="AP11" s="41"/>
      <c r="AQ11" s="41"/>
      <c r="AR11" s="41"/>
      <c r="AS11" s="41"/>
      <c r="AT11" s="95"/>
      <c r="AU11" s="96"/>
      <c r="AV11" s="97"/>
    </row>
    <row r="12" spans="1:67" x14ac:dyDescent="0.25">
      <c r="A12" s="11" t="s">
        <v>340</v>
      </c>
      <c r="B12" s="12" t="s">
        <v>231</v>
      </c>
      <c r="C12" s="3">
        <v>2011</v>
      </c>
      <c r="D12" s="2">
        <f t="shared" si="3"/>
        <v>139</v>
      </c>
      <c r="H12" s="280"/>
      <c r="I12" s="154"/>
      <c r="J12" s="154"/>
      <c r="K12" s="154"/>
      <c r="L12" s="154"/>
      <c r="M12" s="154"/>
      <c r="N12" s="267">
        <f t="shared" si="4"/>
        <v>139</v>
      </c>
      <c r="O12" s="152"/>
      <c r="P12" s="96">
        <f t="shared" si="5"/>
        <v>139</v>
      </c>
      <c r="Q12" s="97">
        <f t="shared" si="6"/>
        <v>139</v>
      </c>
      <c r="R12" s="154"/>
      <c r="S12" s="108"/>
      <c r="T12" s="108"/>
      <c r="U12" s="108"/>
      <c r="V12" s="108"/>
      <c r="W12" s="108"/>
      <c r="X12" s="108"/>
      <c r="Y12" s="108">
        <f t="shared" si="7"/>
        <v>139</v>
      </c>
      <c r="Z12" s="122"/>
      <c r="AA12" s="96">
        <f t="shared" si="8"/>
        <v>139</v>
      </c>
      <c r="AB12" s="97">
        <f>IF(C12=2012, AA12/3,AA12)+Z12</f>
        <v>139</v>
      </c>
      <c r="AC12" s="139"/>
      <c r="AD12" s="108"/>
      <c r="AE12" s="108"/>
      <c r="AF12" s="108"/>
      <c r="AG12" s="108">
        <f>15</f>
        <v>15</v>
      </c>
      <c r="AH12" s="108">
        <f>AV12</f>
        <v>124</v>
      </c>
      <c r="AI12" s="122"/>
      <c r="AJ12" s="96">
        <f t="shared" si="9"/>
        <v>139</v>
      </c>
      <c r="AK12" s="97">
        <f>IF(C12=2016, AJ12/3,AJ12)+AI12</f>
        <v>139</v>
      </c>
      <c r="AL12" s="91"/>
      <c r="AP12" s="13">
        <f>39</f>
        <v>39</v>
      </c>
      <c r="AR12" s="13">
        <f>33</f>
        <v>33</v>
      </c>
      <c r="AS12" s="13">
        <f>52</f>
        <v>52</v>
      </c>
      <c r="AT12" s="95"/>
      <c r="AU12" s="96">
        <f>SUM(AM12:AS12)</f>
        <v>124</v>
      </c>
      <c r="AV12" s="97">
        <f>IF(C12=2015, AU12/3,AU12)+AT12</f>
        <v>124</v>
      </c>
    </row>
    <row r="13" spans="1:67" s="52" customFormat="1" x14ac:dyDescent="0.25">
      <c r="A13" s="11" t="s">
        <v>269</v>
      </c>
      <c r="B13" s="12" t="s">
        <v>8</v>
      </c>
      <c r="C13" s="3">
        <v>2013</v>
      </c>
      <c r="D13" s="2">
        <f t="shared" si="3"/>
        <v>0</v>
      </c>
      <c r="E13" s="156"/>
      <c r="F13" s="156"/>
      <c r="G13" s="120"/>
      <c r="H13" s="280"/>
      <c r="I13" s="156"/>
      <c r="J13" s="156"/>
      <c r="K13" s="156"/>
      <c r="L13" s="156"/>
      <c r="M13" s="156"/>
      <c r="N13" s="267">
        <f t="shared" si="4"/>
        <v>0</v>
      </c>
      <c r="O13" s="120"/>
      <c r="P13" s="96">
        <f t="shared" si="5"/>
        <v>0</v>
      </c>
      <c r="Q13" s="97">
        <f t="shared" si="6"/>
        <v>0</v>
      </c>
      <c r="R13" s="156"/>
      <c r="S13" s="108"/>
      <c r="T13" s="108"/>
      <c r="U13" s="108"/>
      <c r="V13" s="108"/>
      <c r="W13" s="108"/>
      <c r="X13" s="108"/>
      <c r="Y13" s="108">
        <f t="shared" si="7"/>
        <v>0</v>
      </c>
      <c r="Z13" s="122"/>
      <c r="AA13" s="96">
        <f t="shared" si="8"/>
        <v>0</v>
      </c>
      <c r="AB13" s="97">
        <f>IF(C13=2017, AA13/3,AA13)+Z13</f>
        <v>0</v>
      </c>
      <c r="AC13" s="139"/>
      <c r="AD13" s="108"/>
      <c r="AE13" s="108"/>
      <c r="AF13" s="108">
        <f>0</f>
        <v>0</v>
      </c>
      <c r="AG13" s="108"/>
      <c r="AH13" s="108">
        <f>AV13</f>
        <v>0</v>
      </c>
      <c r="AI13" s="122"/>
      <c r="AJ13" s="96">
        <f t="shared" si="9"/>
        <v>0</v>
      </c>
      <c r="AK13" s="97">
        <f>IF(C13=2016, AJ13/3,AJ13)+AI13</f>
        <v>0</v>
      </c>
      <c r="AL13" s="91"/>
      <c r="AM13" s="13"/>
      <c r="AN13" s="13"/>
      <c r="AO13" s="13">
        <f>0</f>
        <v>0</v>
      </c>
      <c r="AP13" s="13">
        <f>0</f>
        <v>0</v>
      </c>
      <c r="AQ13" s="13">
        <f>0</f>
        <v>0</v>
      </c>
      <c r="AR13" s="13"/>
      <c r="AS13" s="13">
        <f>0</f>
        <v>0</v>
      </c>
      <c r="AT13" s="95"/>
      <c r="AU13" s="96">
        <f>SUM(AM13:AS13)</f>
        <v>0</v>
      </c>
      <c r="AV13" s="97">
        <f>IF(C13=2015, AU13/3,AU13)+AT13</f>
        <v>0</v>
      </c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spans="1:67" s="52" customFormat="1" x14ac:dyDescent="0.25">
      <c r="A14" s="11" t="s">
        <v>1144</v>
      </c>
      <c r="B14" s="12" t="s">
        <v>86</v>
      </c>
      <c r="C14" s="3">
        <v>2011</v>
      </c>
      <c r="D14" s="2">
        <f t="shared" si="3"/>
        <v>0</v>
      </c>
      <c r="E14" s="283"/>
      <c r="F14" s="278"/>
      <c r="G14" s="120"/>
      <c r="H14" s="280"/>
      <c r="I14" s="261"/>
      <c r="J14" s="246"/>
      <c r="K14" s="241"/>
      <c r="L14" s="228">
        <f>0</f>
        <v>0</v>
      </c>
      <c r="M14" s="215"/>
      <c r="N14" s="267">
        <f t="shared" si="4"/>
        <v>0</v>
      </c>
      <c r="O14" s="152"/>
      <c r="P14" s="96">
        <f t="shared" si="5"/>
        <v>0</v>
      </c>
      <c r="Q14" s="97">
        <f t="shared" si="6"/>
        <v>0</v>
      </c>
      <c r="R14" s="215"/>
      <c r="S14" s="108"/>
      <c r="T14" s="108"/>
      <c r="U14" s="108"/>
      <c r="V14" s="108"/>
      <c r="W14" s="108"/>
      <c r="X14" s="108"/>
      <c r="Y14" s="108"/>
      <c r="Z14" s="108"/>
      <c r="AA14" s="96"/>
      <c r="AB14" s="97"/>
      <c r="AC14" s="139"/>
      <c r="AD14" s="108"/>
      <c r="AE14" s="108"/>
      <c r="AF14" s="108"/>
      <c r="AG14" s="108"/>
      <c r="AH14" s="108"/>
      <c r="AI14" s="108"/>
      <c r="AJ14" s="68"/>
      <c r="AK14" s="68"/>
      <c r="AL14" s="91"/>
      <c r="AM14" s="286"/>
      <c r="AN14" s="286"/>
      <c r="AO14" s="286"/>
      <c r="AP14" s="286"/>
      <c r="AQ14" s="286"/>
      <c r="AR14" s="286"/>
      <c r="AS14" s="286"/>
      <c r="AT14" s="68"/>
      <c r="AU14" s="68"/>
      <c r="AV14" s="68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</row>
    <row r="15" spans="1:67" x14ac:dyDescent="0.25">
      <c r="A15" s="11" t="s">
        <v>1163</v>
      </c>
      <c r="B15" s="12" t="s">
        <v>87</v>
      </c>
      <c r="C15" s="3">
        <v>2010</v>
      </c>
      <c r="D15" s="2">
        <f t="shared" si="3"/>
        <v>6</v>
      </c>
      <c r="E15" s="154"/>
      <c r="F15" s="154"/>
      <c r="H15" s="290"/>
      <c r="L15" s="231">
        <f>6</f>
        <v>6</v>
      </c>
      <c r="M15" s="231"/>
      <c r="N15" s="267">
        <f t="shared" si="4"/>
        <v>0</v>
      </c>
      <c r="O15" s="152"/>
      <c r="P15" s="96">
        <f t="shared" si="5"/>
        <v>6</v>
      </c>
      <c r="Q15" s="97">
        <f t="shared" si="6"/>
        <v>6</v>
      </c>
      <c r="R15" s="231"/>
      <c r="S15" s="108"/>
      <c r="T15" s="108"/>
      <c r="U15" s="108"/>
      <c r="V15" s="108"/>
      <c r="W15" s="108"/>
      <c r="X15" s="108"/>
      <c r="Y15" s="108"/>
      <c r="Z15" s="108"/>
      <c r="AA15" s="96"/>
      <c r="AB15" s="97"/>
      <c r="AC15" s="260"/>
      <c r="AD15" s="108"/>
      <c r="AE15" s="108"/>
      <c r="AF15" s="108"/>
      <c r="AG15" s="108"/>
      <c r="AH15" s="108"/>
      <c r="AI15" s="108"/>
      <c r="AJ15" s="68"/>
      <c r="AK15" s="68"/>
      <c r="AL15" s="260"/>
      <c r="AM15" s="286"/>
      <c r="AN15" s="286"/>
      <c r="AO15" s="286"/>
      <c r="AP15" s="286"/>
      <c r="AQ15" s="286"/>
      <c r="AR15" s="286"/>
      <c r="AS15" s="286"/>
      <c r="AT15" s="68"/>
      <c r="AU15" s="68"/>
      <c r="AV15" s="68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</row>
    <row r="16" spans="1:67" s="52" customFormat="1" x14ac:dyDescent="0.25">
      <c r="A16" s="11" t="s">
        <v>106</v>
      </c>
      <c r="B16" s="12" t="s">
        <v>64</v>
      </c>
      <c r="C16" s="3">
        <v>2012</v>
      </c>
      <c r="D16" s="2">
        <f t="shared" si="3"/>
        <v>5.666666666666667</v>
      </c>
      <c r="E16" s="283"/>
      <c r="F16" s="278"/>
      <c r="G16" s="120"/>
      <c r="H16" s="280"/>
      <c r="I16" s="261"/>
      <c r="J16" s="246"/>
      <c r="K16" s="241"/>
      <c r="L16" s="228"/>
      <c r="M16" s="215"/>
      <c r="N16" s="267">
        <f t="shared" si="4"/>
        <v>5.666666666666667</v>
      </c>
      <c r="O16" s="120"/>
      <c r="P16" s="96">
        <f t="shared" si="5"/>
        <v>5.666666666666667</v>
      </c>
      <c r="Q16" s="97">
        <f t="shared" si="6"/>
        <v>5.666666666666667</v>
      </c>
      <c r="R16" s="215"/>
      <c r="S16" s="108"/>
      <c r="T16" s="108"/>
      <c r="U16" s="108"/>
      <c r="V16" s="108"/>
      <c r="W16" s="108"/>
      <c r="X16" s="108"/>
      <c r="Y16" s="108">
        <f>AK16</f>
        <v>17</v>
      </c>
      <c r="Z16" s="122"/>
      <c r="AA16" s="96">
        <f>S16+T16+U16+V16+W16+X16+Y16</f>
        <v>17</v>
      </c>
      <c r="AB16" s="97">
        <f>IF(C16=2012, AA16/3,AA16)+Z16</f>
        <v>5.666666666666667</v>
      </c>
      <c r="AC16" s="139"/>
      <c r="AD16" s="108"/>
      <c r="AE16" s="108"/>
      <c r="AF16" s="108"/>
      <c r="AG16" s="108"/>
      <c r="AH16" s="108">
        <f>AV16</f>
        <v>17</v>
      </c>
      <c r="AI16" s="122"/>
      <c r="AJ16" s="96">
        <f>SUM(AD16:AH16)</f>
        <v>17</v>
      </c>
      <c r="AK16" s="97">
        <f>IF(C16=2016, AJ16/3,AJ16)+AI16</f>
        <v>17</v>
      </c>
      <c r="AL16" s="91"/>
      <c r="AM16" s="13"/>
      <c r="AN16" s="13">
        <v>12</v>
      </c>
      <c r="AO16" s="13"/>
      <c r="AP16" s="13"/>
      <c r="AQ16" s="13"/>
      <c r="AR16" s="13"/>
      <c r="AS16" s="13">
        <f>5</f>
        <v>5</v>
      </c>
      <c r="AT16" s="95"/>
      <c r="AU16" s="96">
        <f>SUM(AM16:AS16)</f>
        <v>17</v>
      </c>
      <c r="AV16" s="97">
        <f>IF(C16=2015, AU16/3,AU16)+AT16</f>
        <v>17</v>
      </c>
    </row>
    <row r="17" spans="1:67" x14ac:dyDescent="0.25">
      <c r="A17" s="76" t="s">
        <v>1015</v>
      </c>
      <c r="B17" s="71" t="s">
        <v>1010</v>
      </c>
      <c r="C17" s="3">
        <v>2013</v>
      </c>
      <c r="D17" s="2">
        <f t="shared" si="3"/>
        <v>0.66666666666666663</v>
      </c>
      <c r="J17" s="256"/>
      <c r="K17" s="256"/>
      <c r="L17" s="256"/>
      <c r="M17" s="256"/>
      <c r="N17" s="267">
        <f t="shared" si="4"/>
        <v>2</v>
      </c>
      <c r="O17" s="152"/>
      <c r="P17" s="96">
        <f t="shared" si="5"/>
        <v>2</v>
      </c>
      <c r="Q17" s="97">
        <f t="shared" si="6"/>
        <v>0.66666666666666663</v>
      </c>
      <c r="R17" s="256"/>
      <c r="S17" s="108">
        <f>2</f>
        <v>2</v>
      </c>
      <c r="U17" s="108"/>
      <c r="V17" s="108"/>
      <c r="W17" s="108"/>
      <c r="X17" s="108"/>
      <c r="Y17" s="108">
        <f>AK17</f>
        <v>0</v>
      </c>
      <c r="Z17" s="122"/>
      <c r="AA17" s="96">
        <f>S17+T17+U17+V17+W17+X17+Y17</f>
        <v>2</v>
      </c>
      <c r="AB17" s="97">
        <f>IF(C17=2017, AA17/3,AA17)+Z17</f>
        <v>2</v>
      </c>
      <c r="AC17" s="230"/>
      <c r="AD17" s="108"/>
      <c r="AE17" s="108"/>
      <c r="AF17" s="108"/>
      <c r="AG17" s="108"/>
      <c r="AH17" s="108"/>
      <c r="AI17" s="122"/>
      <c r="AJ17" s="96"/>
      <c r="AK17" s="97"/>
      <c r="AL17" s="230"/>
      <c r="AM17" s="41"/>
      <c r="AN17" s="41"/>
      <c r="AO17" s="41"/>
      <c r="AP17" s="41"/>
      <c r="AQ17" s="41"/>
      <c r="AR17" s="41"/>
      <c r="AS17" s="189"/>
      <c r="AT17" s="95"/>
      <c r="AU17" s="96"/>
      <c r="AV17" s="9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</row>
    <row r="18" spans="1:67" x14ac:dyDescent="0.25">
      <c r="A18" s="11" t="s">
        <v>342</v>
      </c>
      <c r="B18" s="12" t="s">
        <v>0</v>
      </c>
      <c r="C18" s="3">
        <v>2011</v>
      </c>
      <c r="D18" s="2">
        <f t="shared" si="3"/>
        <v>192</v>
      </c>
      <c r="E18" s="283">
        <f>0</f>
        <v>0</v>
      </c>
      <c r="H18" s="280"/>
      <c r="I18" s="261">
        <f>2</f>
        <v>2</v>
      </c>
      <c r="J18" s="246">
        <f>22</f>
        <v>22</v>
      </c>
      <c r="K18" s="241">
        <f>0</f>
        <v>0</v>
      </c>
      <c r="L18" s="228">
        <f>2</f>
        <v>2</v>
      </c>
      <c r="N18" s="267">
        <f t="shared" si="4"/>
        <v>166</v>
      </c>
      <c r="O18" s="152"/>
      <c r="P18" s="96">
        <f t="shared" si="5"/>
        <v>192</v>
      </c>
      <c r="Q18" s="97">
        <f t="shared" si="6"/>
        <v>192</v>
      </c>
      <c r="S18" s="108">
        <f>3</f>
        <v>3</v>
      </c>
      <c r="T18" s="108">
        <f>0</f>
        <v>0</v>
      </c>
      <c r="U18" s="108"/>
      <c r="V18" s="108"/>
      <c r="W18" s="108"/>
      <c r="X18" s="108"/>
      <c r="Y18" s="108">
        <f>AK18</f>
        <v>163</v>
      </c>
      <c r="Z18" s="122"/>
      <c r="AA18" s="96">
        <f>S18+T18+U18+V18+W18+X18+Y18</f>
        <v>166</v>
      </c>
      <c r="AB18" s="97">
        <f>IF(C18=2012, AA18/3,AA18)+Z18</f>
        <v>166</v>
      </c>
      <c r="AC18" s="141"/>
      <c r="AD18" s="108">
        <f>6</f>
        <v>6</v>
      </c>
      <c r="AE18" s="108">
        <f>9</f>
        <v>9</v>
      </c>
      <c r="AF18" s="108">
        <f>74</f>
        <v>74</v>
      </c>
      <c r="AG18" s="108"/>
      <c r="AH18" s="108">
        <f>AV18</f>
        <v>74</v>
      </c>
      <c r="AI18" s="122"/>
      <c r="AJ18" s="96">
        <f>SUM(AD18:AH18)</f>
        <v>163</v>
      </c>
      <c r="AK18" s="97">
        <f>IF(C18=2016, AJ18/3,AJ18)+AI18</f>
        <v>163</v>
      </c>
      <c r="AL18" s="91"/>
      <c r="AP18" s="13">
        <f>0</f>
        <v>0</v>
      </c>
      <c r="AQ18" s="13">
        <f>6</f>
        <v>6</v>
      </c>
      <c r="AR18" s="13">
        <f>15+3</f>
        <v>18</v>
      </c>
      <c r="AS18" s="13">
        <f>50</f>
        <v>50</v>
      </c>
      <c r="AT18" s="95"/>
      <c r="AU18" s="96">
        <f>SUM(AM18:AS18)</f>
        <v>74</v>
      </c>
      <c r="AV18" s="97">
        <f>IF(C18=2015, AU18/3,AU18)+AT18</f>
        <v>74</v>
      </c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</row>
    <row r="19" spans="1:67" s="52" customFormat="1" x14ac:dyDescent="0.25">
      <c r="A19" s="11" t="s">
        <v>29</v>
      </c>
      <c r="B19" s="12" t="s">
        <v>8</v>
      </c>
      <c r="C19" s="3">
        <v>2013</v>
      </c>
      <c r="D19" s="2">
        <f t="shared" si="3"/>
        <v>3</v>
      </c>
      <c r="E19" s="283"/>
      <c r="F19" s="278"/>
      <c r="G19" s="120"/>
      <c r="H19" s="280"/>
      <c r="I19" s="261"/>
      <c r="J19" s="246"/>
      <c r="K19" s="241"/>
      <c r="L19" s="228"/>
      <c r="M19" s="215"/>
      <c r="N19" s="267">
        <f t="shared" si="4"/>
        <v>9</v>
      </c>
      <c r="O19" s="120"/>
      <c r="P19" s="96">
        <f t="shared" si="5"/>
        <v>9</v>
      </c>
      <c r="Q19" s="97">
        <f t="shared" si="6"/>
        <v>3</v>
      </c>
      <c r="R19" s="215"/>
      <c r="S19" s="108"/>
      <c r="T19" s="108"/>
      <c r="U19" s="108"/>
      <c r="V19" s="108"/>
      <c r="W19" s="108"/>
      <c r="X19" s="108"/>
      <c r="Y19" s="108">
        <f>AK19</f>
        <v>9</v>
      </c>
      <c r="Z19" s="122"/>
      <c r="AA19" s="96">
        <f>S19+T19+U19+V19+W19+X19+Y19</f>
        <v>9</v>
      </c>
      <c r="AB19" s="97">
        <f>IF(C19=2017, AA19/3,AA19)+Z19</f>
        <v>9</v>
      </c>
      <c r="AC19" s="141"/>
      <c r="AD19" s="108"/>
      <c r="AE19" s="108"/>
      <c r="AF19" s="108"/>
      <c r="AG19" s="108"/>
      <c r="AH19" s="108">
        <f>AV19</f>
        <v>9</v>
      </c>
      <c r="AI19" s="122"/>
      <c r="AJ19" s="96">
        <f>SUM(AD19:AH19)</f>
        <v>9</v>
      </c>
      <c r="AK19" s="97">
        <f>IF(C19=2016, AJ19/3,AJ19)+AI19</f>
        <v>9</v>
      </c>
      <c r="AL19" s="112"/>
      <c r="AM19" s="287">
        <f>0</f>
        <v>0</v>
      </c>
      <c r="AN19" s="287"/>
      <c r="AO19" s="287"/>
      <c r="AP19" s="287"/>
      <c r="AQ19" s="287"/>
      <c r="AR19" s="287"/>
      <c r="AS19" s="287">
        <v>9</v>
      </c>
      <c r="AT19" s="95"/>
      <c r="AU19" s="96">
        <f>SUM(AM19:AS19)</f>
        <v>9</v>
      </c>
      <c r="AV19" s="97">
        <f>IF(C19=2015, AU19/3,AU19)+AT19</f>
        <v>9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</row>
    <row r="20" spans="1:67" s="17" customFormat="1" x14ac:dyDescent="0.25">
      <c r="A20" s="11" t="s">
        <v>1164</v>
      </c>
      <c r="B20" s="12" t="s">
        <v>87</v>
      </c>
      <c r="C20" s="3">
        <v>2011</v>
      </c>
      <c r="D20" s="2">
        <f t="shared" si="3"/>
        <v>6</v>
      </c>
      <c r="E20" s="287"/>
      <c r="F20" s="287"/>
      <c r="G20" s="120"/>
      <c r="H20" s="280"/>
      <c r="I20" s="261"/>
      <c r="J20" s="246"/>
      <c r="K20" s="241"/>
      <c r="L20" s="228">
        <f>6</f>
        <v>6</v>
      </c>
      <c r="M20" s="215"/>
      <c r="N20" s="267">
        <f t="shared" si="4"/>
        <v>0</v>
      </c>
      <c r="O20" s="152"/>
      <c r="P20" s="96">
        <f t="shared" si="5"/>
        <v>6</v>
      </c>
      <c r="Q20" s="97">
        <f t="shared" si="6"/>
        <v>6</v>
      </c>
      <c r="R20" s="215"/>
      <c r="S20" s="108"/>
      <c r="T20" s="108"/>
      <c r="U20" s="108"/>
      <c r="V20" s="108"/>
      <c r="W20" s="108"/>
      <c r="X20" s="108"/>
      <c r="Y20" s="108"/>
      <c r="Z20" s="108"/>
      <c r="AA20" s="96"/>
      <c r="AB20" s="97"/>
      <c r="AC20" s="139"/>
      <c r="AD20" s="108"/>
      <c r="AE20" s="108"/>
      <c r="AF20" s="108"/>
      <c r="AG20" s="108"/>
      <c r="AH20" s="108"/>
      <c r="AI20" s="108"/>
      <c r="AJ20" s="68"/>
      <c r="AK20" s="68"/>
      <c r="AL20" s="135"/>
      <c r="AM20" s="286"/>
      <c r="AN20" s="286"/>
      <c r="AO20" s="286"/>
      <c r="AP20" s="286"/>
      <c r="AQ20" s="286"/>
      <c r="AR20" s="286"/>
      <c r="AS20" s="286"/>
      <c r="AT20" s="68"/>
      <c r="AU20" s="68"/>
      <c r="AV20" s="68"/>
    </row>
    <row r="21" spans="1:67" x14ac:dyDescent="0.25">
      <c r="A21" s="21" t="s">
        <v>28</v>
      </c>
      <c r="B21" s="294" t="s">
        <v>23</v>
      </c>
      <c r="C21" s="25">
        <v>2010</v>
      </c>
      <c r="D21" s="2">
        <f t="shared" si="3"/>
        <v>246</v>
      </c>
      <c r="H21" s="280"/>
      <c r="N21" s="267">
        <f t="shared" si="4"/>
        <v>246</v>
      </c>
      <c r="O21" s="120"/>
      <c r="P21" s="96">
        <f t="shared" si="5"/>
        <v>246</v>
      </c>
      <c r="Q21" s="97">
        <f t="shared" si="6"/>
        <v>246</v>
      </c>
      <c r="S21" s="108"/>
      <c r="T21" s="108"/>
      <c r="U21" s="108"/>
      <c r="V21" s="108"/>
      <c r="W21" s="108"/>
      <c r="X21" s="108"/>
      <c r="Y21" s="108">
        <f t="shared" ref="Y21:Y32" si="10">AK21</f>
        <v>246</v>
      </c>
      <c r="Z21" s="122"/>
      <c r="AA21" s="96">
        <f t="shared" ref="AA21:AA32" si="11">S21+T21+U21+V21+W21+X21+Y21</f>
        <v>246</v>
      </c>
      <c r="AB21" s="97">
        <f>IF(C21=2012, AA21/3,AA21)+Z21</f>
        <v>246</v>
      </c>
      <c r="AC21" s="286"/>
      <c r="AD21" s="108"/>
      <c r="AE21" s="108"/>
      <c r="AF21" s="108">
        <f>39+102</f>
        <v>141</v>
      </c>
      <c r="AG21" s="108"/>
      <c r="AH21" s="108">
        <f>AV21</f>
        <v>105</v>
      </c>
      <c r="AI21" s="122"/>
      <c r="AJ21" s="96">
        <f>SUM(AD21:AH21)</f>
        <v>246</v>
      </c>
      <c r="AK21" s="97">
        <f>IF(C21=2011, AJ21/3,AJ21)+AI21</f>
        <v>246</v>
      </c>
      <c r="AL21" s="286"/>
      <c r="AM21" s="41">
        <f>9</f>
        <v>9</v>
      </c>
      <c r="AN21" s="41"/>
      <c r="AO21" s="41"/>
      <c r="AP21" s="41"/>
      <c r="AQ21" s="41"/>
      <c r="AR21" s="41"/>
      <c r="AS21" s="189">
        <v>288</v>
      </c>
      <c r="AT21" s="95">
        <f>6</f>
        <v>6</v>
      </c>
      <c r="AU21" s="96">
        <f>SUM(AM21:AS21)</f>
        <v>297</v>
      </c>
      <c r="AV21" s="97">
        <f>IF(C21=2010, AU21/3,AU21)+AT21</f>
        <v>105</v>
      </c>
    </row>
    <row r="22" spans="1:67" x14ac:dyDescent="0.25">
      <c r="A22" s="76" t="s">
        <v>319</v>
      </c>
      <c r="B22" s="71" t="s">
        <v>231</v>
      </c>
      <c r="C22" s="3">
        <v>2012</v>
      </c>
      <c r="D22" s="2">
        <f t="shared" si="3"/>
        <v>37.666666666666664</v>
      </c>
      <c r="H22" s="290"/>
      <c r="N22" s="267">
        <f t="shared" si="4"/>
        <v>37.666666666666664</v>
      </c>
      <c r="O22" s="120"/>
      <c r="P22" s="96">
        <f t="shared" si="5"/>
        <v>37.666666666666664</v>
      </c>
      <c r="Q22" s="97">
        <f t="shared" si="6"/>
        <v>37.666666666666664</v>
      </c>
      <c r="S22" s="108"/>
      <c r="T22" s="108"/>
      <c r="U22" s="108"/>
      <c r="V22" s="108"/>
      <c r="W22" s="108"/>
      <c r="X22" s="108"/>
      <c r="Y22" s="108">
        <f t="shared" si="10"/>
        <v>113</v>
      </c>
      <c r="Z22" s="122"/>
      <c r="AA22" s="96">
        <f t="shared" si="11"/>
        <v>113</v>
      </c>
      <c r="AB22" s="97">
        <f>IF(C22=2012, AA22/3,AA22)+Z22</f>
        <v>37.666666666666664</v>
      </c>
      <c r="AC22" s="286"/>
      <c r="AD22" s="108"/>
      <c r="AE22" s="108">
        <f>12</f>
        <v>12</v>
      </c>
      <c r="AF22" s="108">
        <f>56</f>
        <v>56</v>
      </c>
      <c r="AG22" s="108">
        <f>45</f>
        <v>45</v>
      </c>
      <c r="AH22" s="108">
        <f>AV22</f>
        <v>0</v>
      </c>
      <c r="AI22" s="122"/>
      <c r="AJ22" s="96">
        <f>SUM(AD22:AH22)</f>
        <v>113</v>
      </c>
      <c r="AK22" s="97">
        <f>IF(C22=2016, AJ22/3,AJ22)+AI22</f>
        <v>113</v>
      </c>
      <c r="AL22" s="286"/>
      <c r="AM22" s="41"/>
      <c r="AN22" s="41"/>
      <c r="AO22" s="41"/>
      <c r="AP22" s="41">
        <f>0</f>
        <v>0</v>
      </c>
      <c r="AQ22" s="41"/>
      <c r="AR22" s="41"/>
      <c r="AS22" s="41"/>
      <c r="AT22" s="95"/>
      <c r="AU22" s="96">
        <f>SUM(AM22:AS22)</f>
        <v>0</v>
      </c>
      <c r="AV22" s="97">
        <f>IF(C22=2015, AU22/3,AU22)+AT22</f>
        <v>0</v>
      </c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</row>
    <row r="23" spans="1:67" s="17" customFormat="1" x14ac:dyDescent="0.25">
      <c r="A23" s="11" t="s">
        <v>265</v>
      </c>
      <c r="B23" s="12" t="s">
        <v>231</v>
      </c>
      <c r="C23" s="3">
        <v>2012</v>
      </c>
      <c r="D23" s="2">
        <f t="shared" si="3"/>
        <v>4</v>
      </c>
      <c r="E23" s="154"/>
      <c r="F23" s="154"/>
      <c r="G23" s="120"/>
      <c r="H23" s="280"/>
      <c r="I23" s="261"/>
      <c r="J23" s="246"/>
      <c r="K23" s="241"/>
      <c r="L23" s="228"/>
      <c r="M23" s="215"/>
      <c r="N23" s="267">
        <f t="shared" si="4"/>
        <v>4</v>
      </c>
      <c r="O23" s="120"/>
      <c r="P23" s="96">
        <f t="shared" si="5"/>
        <v>4</v>
      </c>
      <c r="Q23" s="97">
        <f t="shared" si="6"/>
        <v>4</v>
      </c>
      <c r="R23" s="215"/>
      <c r="S23" s="108"/>
      <c r="T23" s="108"/>
      <c r="U23" s="108"/>
      <c r="V23" s="108"/>
      <c r="W23" s="108"/>
      <c r="X23" s="108"/>
      <c r="Y23" s="108">
        <f t="shared" si="10"/>
        <v>12</v>
      </c>
      <c r="Z23" s="122"/>
      <c r="AA23" s="96">
        <f t="shared" si="11"/>
        <v>12</v>
      </c>
      <c r="AB23" s="97">
        <f>IF(C23=2012, AA23/3,AA23)+Z23</f>
        <v>4</v>
      </c>
      <c r="AC23" s="141"/>
      <c r="AD23" s="108"/>
      <c r="AE23" s="108"/>
      <c r="AF23" s="108"/>
      <c r="AG23" s="108"/>
      <c r="AH23" s="108">
        <f>AV23</f>
        <v>12</v>
      </c>
      <c r="AI23" s="122"/>
      <c r="AJ23" s="96">
        <f>SUM(AD23:AH23)</f>
        <v>12</v>
      </c>
      <c r="AK23" s="97">
        <f>IF(C23=2016, AJ23/3,AJ23)+AI23</f>
        <v>12</v>
      </c>
      <c r="AL23" s="112"/>
      <c r="AM23" s="13"/>
      <c r="AN23" s="13"/>
      <c r="AO23" s="13">
        <f>12</f>
        <v>12</v>
      </c>
      <c r="AP23" s="13">
        <f>0</f>
        <v>0</v>
      </c>
      <c r="AQ23" s="13"/>
      <c r="AR23" s="13"/>
      <c r="AS23" s="13">
        <v>0</v>
      </c>
      <c r="AT23" s="95"/>
      <c r="AU23" s="96">
        <f>SUM(AM23:AS23)</f>
        <v>12</v>
      </c>
      <c r="AV23" s="97">
        <f>IF(C23=2015, AU23/3,AU23)+AT23</f>
        <v>12</v>
      </c>
    </row>
    <row r="24" spans="1:67" x14ac:dyDescent="0.25">
      <c r="A24" s="11" t="s">
        <v>898</v>
      </c>
      <c r="B24" s="12" t="s">
        <v>0</v>
      </c>
      <c r="C24" s="3">
        <v>2013</v>
      </c>
      <c r="D24" s="2">
        <f t="shared" si="3"/>
        <v>1.3333333333333333</v>
      </c>
      <c r="H24" s="280"/>
      <c r="N24" s="267">
        <f t="shared" si="4"/>
        <v>4</v>
      </c>
      <c r="O24" s="152"/>
      <c r="P24" s="96">
        <f t="shared" si="5"/>
        <v>4</v>
      </c>
      <c r="Q24" s="97">
        <f t="shared" si="6"/>
        <v>1.3333333333333333</v>
      </c>
      <c r="S24" s="108"/>
      <c r="T24" s="108"/>
      <c r="U24" s="108"/>
      <c r="V24" s="108">
        <f>4</f>
        <v>4</v>
      </c>
      <c r="W24" s="108"/>
      <c r="X24" s="108"/>
      <c r="Y24" s="108">
        <f t="shared" si="10"/>
        <v>0</v>
      </c>
      <c r="Z24" s="122"/>
      <c r="AA24" s="96">
        <f t="shared" si="11"/>
        <v>4</v>
      </c>
      <c r="AB24" s="97">
        <f>IF(C24=2017, AA24/3,AA24)+Z24</f>
        <v>4</v>
      </c>
      <c r="AC24" s="101"/>
      <c r="AD24" s="108"/>
      <c r="AE24" s="108"/>
      <c r="AF24" s="108"/>
      <c r="AG24" s="108"/>
      <c r="AH24" s="108"/>
      <c r="AI24" s="122"/>
      <c r="AJ24" s="96"/>
      <c r="AK24" s="97"/>
      <c r="AL24" s="101"/>
      <c r="AM24" s="41"/>
      <c r="AN24" s="41"/>
      <c r="AO24" s="41"/>
      <c r="AP24" s="41"/>
      <c r="AQ24" s="41"/>
      <c r="AR24" s="41"/>
      <c r="AS24" s="41"/>
    </row>
    <row r="25" spans="1:67" s="52" customFormat="1" x14ac:dyDescent="0.25">
      <c r="A25" s="264" t="s">
        <v>1056</v>
      </c>
      <c r="B25" s="295" t="s">
        <v>86</v>
      </c>
      <c r="C25" s="288">
        <v>2010</v>
      </c>
      <c r="D25" s="2">
        <f t="shared" si="3"/>
        <v>0</v>
      </c>
      <c r="E25" s="283"/>
      <c r="F25" s="278"/>
      <c r="G25" s="120"/>
      <c r="H25" s="13"/>
      <c r="I25" s="261"/>
      <c r="J25" s="246"/>
      <c r="K25" s="241"/>
      <c r="L25" s="228"/>
      <c r="M25" s="215"/>
      <c r="N25" s="267">
        <f t="shared" si="4"/>
        <v>0</v>
      </c>
      <c r="O25" s="120"/>
      <c r="P25" s="96">
        <f t="shared" si="5"/>
        <v>0</v>
      </c>
      <c r="Q25" s="97">
        <f t="shared" si="6"/>
        <v>0</v>
      </c>
      <c r="R25" s="215"/>
      <c r="S25" s="13">
        <f>0</f>
        <v>0</v>
      </c>
      <c r="T25" s="13"/>
      <c r="U25" s="13"/>
      <c r="V25" s="13"/>
      <c r="W25" s="13"/>
      <c r="X25" s="13"/>
      <c r="Y25" s="108">
        <f t="shared" si="10"/>
        <v>0</v>
      </c>
      <c r="Z25" s="13"/>
      <c r="AA25" s="96">
        <f t="shared" si="11"/>
        <v>0</v>
      </c>
      <c r="AB25" s="97">
        <f>IF(C25=2012, AA25/3,AA25)+Z25</f>
        <v>0</v>
      </c>
      <c r="AC25" s="13"/>
      <c r="AD25" s="13"/>
      <c r="AE25" s="13"/>
      <c r="AF25" s="13"/>
      <c r="AG25" s="13"/>
      <c r="AH25" s="13"/>
      <c r="AI25" s="13"/>
      <c r="AJ25" s="3"/>
      <c r="AK25" s="3"/>
      <c r="AL25" s="13"/>
      <c r="AM25" s="13"/>
      <c r="AN25" s="13"/>
      <c r="AO25" s="13"/>
      <c r="AP25" s="13"/>
      <c r="AQ25" s="13"/>
      <c r="AR25" s="13"/>
      <c r="AS25" s="1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spans="1:67" x14ac:dyDescent="0.25">
      <c r="A26" s="76" t="s">
        <v>341</v>
      </c>
      <c r="B26" s="71" t="s">
        <v>86</v>
      </c>
      <c r="C26" s="3">
        <v>2010</v>
      </c>
      <c r="D26" s="2">
        <f t="shared" si="3"/>
        <v>5</v>
      </c>
      <c r="E26" s="154"/>
      <c r="F26" s="154"/>
      <c r="H26" s="280"/>
      <c r="N26" s="267">
        <f t="shared" si="4"/>
        <v>5</v>
      </c>
      <c r="O26" s="152"/>
      <c r="P26" s="96">
        <f t="shared" si="5"/>
        <v>5</v>
      </c>
      <c r="Q26" s="97">
        <f t="shared" si="6"/>
        <v>5</v>
      </c>
      <c r="S26" s="108"/>
      <c r="T26" s="108"/>
      <c r="U26" s="108"/>
      <c r="V26" s="108"/>
      <c r="W26" s="108"/>
      <c r="X26" s="108"/>
      <c r="Y26" s="108">
        <f t="shared" si="10"/>
        <v>5</v>
      </c>
      <c r="Z26" s="122"/>
      <c r="AA26" s="96">
        <f t="shared" si="11"/>
        <v>5</v>
      </c>
      <c r="AB26" s="97">
        <f>IF(C26=2012, AA26/3,AA26)+Z26</f>
        <v>5</v>
      </c>
      <c r="AC26" s="260"/>
      <c r="AD26" s="108"/>
      <c r="AE26" s="108"/>
      <c r="AF26" s="108"/>
      <c r="AG26" s="108"/>
      <c r="AH26" s="108">
        <f>AV26</f>
        <v>5</v>
      </c>
      <c r="AI26" s="122"/>
      <c r="AJ26" s="96">
        <f t="shared" ref="AJ26:AJ31" si="12">SUM(AD26:AH26)</f>
        <v>5</v>
      </c>
      <c r="AK26" s="97">
        <f>IF(C26=2011, AJ26/3,AJ26)+AI26</f>
        <v>5</v>
      </c>
      <c r="AL26" s="260"/>
      <c r="AM26" s="41"/>
      <c r="AN26" s="41"/>
      <c r="AO26" s="41"/>
      <c r="AP26" s="41">
        <f>15</f>
        <v>15</v>
      </c>
      <c r="AQ26" s="41"/>
      <c r="AR26" s="41"/>
      <c r="AS26" s="41"/>
      <c r="AT26" s="95"/>
      <c r="AU26" s="96">
        <f>SUM(AM26:AS26)</f>
        <v>15</v>
      </c>
      <c r="AV26" s="97">
        <f>IF(C26=2010, AU26/3,AU26)+AT26</f>
        <v>5</v>
      </c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</row>
    <row r="27" spans="1:67" x14ac:dyDescent="0.25">
      <c r="A27" s="76" t="s">
        <v>545</v>
      </c>
      <c r="B27" s="71" t="s">
        <v>64</v>
      </c>
      <c r="C27" s="3">
        <v>2013</v>
      </c>
      <c r="D27" s="2">
        <f t="shared" si="3"/>
        <v>13</v>
      </c>
      <c r="H27" s="280"/>
      <c r="I27" s="287"/>
      <c r="J27" s="287"/>
      <c r="K27" s="287"/>
      <c r="L27" s="287"/>
      <c r="M27" s="287"/>
      <c r="N27" s="267">
        <f t="shared" si="4"/>
        <v>39</v>
      </c>
      <c r="O27" s="120"/>
      <c r="P27" s="96">
        <f t="shared" si="5"/>
        <v>39</v>
      </c>
      <c r="Q27" s="97">
        <f t="shared" si="6"/>
        <v>13</v>
      </c>
      <c r="R27" s="287"/>
      <c r="S27" s="108"/>
      <c r="T27" s="208"/>
      <c r="U27" s="108"/>
      <c r="V27" s="108"/>
      <c r="W27" s="108"/>
      <c r="X27" s="108"/>
      <c r="Y27" s="108">
        <f t="shared" si="10"/>
        <v>39</v>
      </c>
      <c r="Z27" s="122"/>
      <c r="AA27" s="96">
        <f t="shared" si="11"/>
        <v>39</v>
      </c>
      <c r="AB27" s="97">
        <f>IF(C27=2017, AA27/3,AA27)+Z27</f>
        <v>39</v>
      </c>
      <c r="AC27" s="260"/>
      <c r="AD27" s="108"/>
      <c r="AE27" s="108"/>
      <c r="AF27" s="108"/>
      <c r="AG27" s="108">
        <f>39</f>
        <v>39</v>
      </c>
      <c r="AH27" s="108"/>
      <c r="AI27" s="122"/>
      <c r="AJ27" s="96">
        <f t="shared" si="12"/>
        <v>39</v>
      </c>
      <c r="AK27" s="97">
        <f>IF(C27=2016, AJ27/3,AJ27)+AI27</f>
        <v>39</v>
      </c>
      <c r="AL27" s="260"/>
      <c r="AM27" s="41"/>
      <c r="AN27" s="41"/>
      <c r="AO27" s="41"/>
      <c r="AP27" s="41"/>
      <c r="AQ27" s="41"/>
      <c r="AR27" s="41"/>
      <c r="AS27" s="41"/>
      <c r="AT27" s="155"/>
      <c r="AU27" s="96"/>
      <c r="AV27" s="97"/>
    </row>
    <row r="28" spans="1:67" x14ac:dyDescent="0.25">
      <c r="A28" s="76" t="s">
        <v>751</v>
      </c>
      <c r="B28" s="71" t="s">
        <v>41</v>
      </c>
      <c r="C28" s="3">
        <v>2011</v>
      </c>
      <c r="D28" s="2">
        <f t="shared" si="3"/>
        <v>152</v>
      </c>
      <c r="E28" s="283">
        <f>6</f>
        <v>6</v>
      </c>
      <c r="F28" s="278">
        <f>3</f>
        <v>3</v>
      </c>
      <c r="H28" s="280"/>
      <c r="J28" s="246">
        <f>40</f>
        <v>40</v>
      </c>
      <c r="K28" s="241">
        <f>3</f>
        <v>3</v>
      </c>
      <c r="L28" s="228">
        <f>0</f>
        <v>0</v>
      </c>
      <c r="N28" s="267">
        <f t="shared" si="4"/>
        <v>100</v>
      </c>
      <c r="O28" s="152"/>
      <c r="P28" s="96">
        <f t="shared" si="5"/>
        <v>143</v>
      </c>
      <c r="Q28" s="97">
        <f t="shared" si="6"/>
        <v>143</v>
      </c>
      <c r="S28" s="108">
        <f>26</f>
        <v>26</v>
      </c>
      <c r="T28" s="108">
        <f>3+2</f>
        <v>5</v>
      </c>
      <c r="U28" s="108"/>
      <c r="V28" s="108">
        <f>22+3+1</f>
        <v>26</v>
      </c>
      <c r="W28" s="108">
        <f>18+1</f>
        <v>19</v>
      </c>
      <c r="X28" s="108">
        <f>19+1</f>
        <v>20</v>
      </c>
      <c r="Y28" s="108">
        <f t="shared" si="10"/>
        <v>4</v>
      </c>
      <c r="Z28" s="122"/>
      <c r="AA28" s="96">
        <f t="shared" si="11"/>
        <v>100</v>
      </c>
      <c r="AB28" s="97">
        <f>IF(C28=2012, AA28/3,AA28)+Z28</f>
        <v>100</v>
      </c>
      <c r="AC28" s="286"/>
      <c r="AD28" s="108">
        <f>0</f>
        <v>0</v>
      </c>
      <c r="AE28" s="108"/>
      <c r="AF28" s="108"/>
      <c r="AG28" s="108"/>
      <c r="AH28" s="108"/>
      <c r="AI28" s="122">
        <f>4</f>
        <v>4</v>
      </c>
      <c r="AJ28" s="96">
        <f t="shared" si="12"/>
        <v>0</v>
      </c>
      <c r="AK28" s="97">
        <f>IF(C28=2016, AJ28/3,AJ28)+AI28</f>
        <v>4</v>
      </c>
      <c r="AL28" s="286"/>
      <c r="AM28" s="41"/>
      <c r="AN28" s="41"/>
      <c r="AO28" s="41"/>
      <c r="AP28" s="41"/>
      <c r="AQ28" s="41"/>
      <c r="AR28" s="41"/>
      <c r="AS28" s="41"/>
      <c r="AT28" s="95"/>
      <c r="AU28" s="96"/>
      <c r="AV28" s="97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</row>
    <row r="29" spans="1:67" x14ac:dyDescent="0.25">
      <c r="A29" s="11" t="s">
        <v>16</v>
      </c>
      <c r="B29" s="12" t="s">
        <v>0</v>
      </c>
      <c r="C29" s="3">
        <v>2013</v>
      </c>
      <c r="D29" s="2">
        <f t="shared" si="3"/>
        <v>86.333333333333329</v>
      </c>
      <c r="H29" s="280"/>
      <c r="I29" s="154">
        <f>0</f>
        <v>0</v>
      </c>
      <c r="J29" s="154">
        <f>9</f>
        <v>9</v>
      </c>
      <c r="K29" s="154">
        <f>6</f>
        <v>6</v>
      </c>
      <c r="L29" s="154">
        <f>9</f>
        <v>9</v>
      </c>
      <c r="M29" s="154"/>
      <c r="N29" s="267">
        <f t="shared" si="4"/>
        <v>235</v>
      </c>
      <c r="O29" s="122"/>
      <c r="P29" s="96">
        <f t="shared" si="5"/>
        <v>259</v>
      </c>
      <c r="Q29" s="97">
        <f t="shared" si="6"/>
        <v>86.333333333333329</v>
      </c>
      <c r="R29" s="154"/>
      <c r="S29" s="108">
        <f>15</f>
        <v>15</v>
      </c>
      <c r="T29" s="108">
        <f>15</f>
        <v>15</v>
      </c>
      <c r="U29" s="108">
        <f>3+3</f>
        <v>6</v>
      </c>
      <c r="V29" s="108">
        <f>6+9</f>
        <v>15</v>
      </c>
      <c r="W29" s="108">
        <f>3+9</f>
        <v>12</v>
      </c>
      <c r="X29" s="108">
        <f>0+6</f>
        <v>6</v>
      </c>
      <c r="Y29" s="108">
        <f t="shared" si="10"/>
        <v>166</v>
      </c>
      <c r="Z29" s="122"/>
      <c r="AA29" s="96">
        <f t="shared" si="11"/>
        <v>235</v>
      </c>
      <c r="AB29" s="97">
        <f>IF(C29=2017, AA29/3,AA29)+Z29</f>
        <v>235</v>
      </c>
      <c r="AC29" s="286"/>
      <c r="AD29" s="108">
        <f>9</f>
        <v>9</v>
      </c>
      <c r="AE29" s="108">
        <f>15</f>
        <v>15</v>
      </c>
      <c r="AF29" s="108">
        <f>26</f>
        <v>26</v>
      </c>
      <c r="AG29" s="108">
        <f>6+3</f>
        <v>9</v>
      </c>
      <c r="AH29" s="108">
        <f>AV29</f>
        <v>107</v>
      </c>
      <c r="AI29" s="122"/>
      <c r="AJ29" s="96">
        <f t="shared" si="12"/>
        <v>166</v>
      </c>
      <c r="AK29" s="97">
        <f>IF(C29=2016, AJ29/3,AJ29)+AI29</f>
        <v>166</v>
      </c>
      <c r="AL29" s="286"/>
      <c r="AM29" s="287">
        <f>3</f>
        <v>3</v>
      </c>
      <c r="AN29" s="287"/>
      <c r="AO29" s="287">
        <f>15</f>
        <v>15</v>
      </c>
      <c r="AP29" s="287">
        <f>15</f>
        <v>15</v>
      </c>
      <c r="AQ29" s="287">
        <f>9</f>
        <v>9</v>
      </c>
      <c r="AR29" s="287">
        <f>24+3</f>
        <v>27</v>
      </c>
      <c r="AS29" s="287">
        <v>38</v>
      </c>
      <c r="AT29" s="155"/>
      <c r="AU29" s="96">
        <f>SUM(AM29:AS29)</f>
        <v>107</v>
      </c>
      <c r="AV29" s="97">
        <f>IF(C29=2015, AU29/3,AU29)+AT29</f>
        <v>107</v>
      </c>
    </row>
    <row r="30" spans="1:67" x14ac:dyDescent="0.25">
      <c r="A30" s="11" t="s">
        <v>105</v>
      </c>
      <c r="B30" s="12" t="s">
        <v>64</v>
      </c>
      <c r="C30" s="3">
        <v>2011</v>
      </c>
      <c r="D30" s="2">
        <f t="shared" si="3"/>
        <v>288</v>
      </c>
      <c r="E30" s="154">
        <f>9</f>
        <v>9</v>
      </c>
      <c r="F30" s="154"/>
      <c r="H30" s="280"/>
      <c r="I30" s="261">
        <f>12</f>
        <v>12</v>
      </c>
      <c r="J30" s="261">
        <f>3</f>
        <v>3</v>
      </c>
      <c r="K30" s="261">
        <f>6</f>
        <v>6</v>
      </c>
      <c r="L30" s="261"/>
      <c r="M30" s="261"/>
      <c r="N30" s="267">
        <f t="shared" si="4"/>
        <v>258</v>
      </c>
      <c r="O30" s="120"/>
      <c r="P30" s="96">
        <f t="shared" si="5"/>
        <v>279</v>
      </c>
      <c r="Q30" s="97">
        <f t="shared" si="6"/>
        <v>279</v>
      </c>
      <c r="R30" s="261"/>
      <c r="S30" s="108"/>
      <c r="T30" s="108">
        <f>9</f>
        <v>9</v>
      </c>
      <c r="U30" s="108"/>
      <c r="V30" s="108"/>
      <c r="W30" s="108">
        <f>9+3</f>
        <v>12</v>
      </c>
      <c r="X30" s="108">
        <f>3</f>
        <v>3</v>
      </c>
      <c r="Y30" s="108">
        <f t="shared" si="10"/>
        <v>222</v>
      </c>
      <c r="Z30" s="122">
        <f>3+6+3</f>
        <v>12</v>
      </c>
      <c r="AA30" s="96">
        <f t="shared" si="11"/>
        <v>246</v>
      </c>
      <c r="AB30" s="97">
        <f>IF(C30=2012, AA30/3,AA30)+Z30</f>
        <v>258</v>
      </c>
      <c r="AC30" s="260"/>
      <c r="AD30" s="108"/>
      <c r="AE30" s="108">
        <f>6</f>
        <v>6</v>
      </c>
      <c r="AF30" s="108">
        <f>171</f>
        <v>171</v>
      </c>
      <c r="AG30" s="108">
        <f>9</f>
        <v>9</v>
      </c>
      <c r="AH30" s="108">
        <f>AV30</f>
        <v>30</v>
      </c>
      <c r="AI30" s="122">
        <f>6</f>
        <v>6</v>
      </c>
      <c r="AJ30" s="96">
        <f t="shared" si="12"/>
        <v>216</v>
      </c>
      <c r="AK30" s="97">
        <f>IF(C30=2016, AJ30/3,AJ30)+AI30</f>
        <v>222</v>
      </c>
      <c r="AL30" s="260"/>
      <c r="AN30" s="13">
        <v>15</v>
      </c>
      <c r="AS30" s="13">
        <f>15</f>
        <v>15</v>
      </c>
      <c r="AT30" s="95"/>
      <c r="AU30" s="96">
        <f>SUM(AM30:AS30)</f>
        <v>30</v>
      </c>
      <c r="AV30" s="97">
        <f>IF(C30=2015, AU30/3,AU30)+AT30</f>
        <v>30</v>
      </c>
    </row>
    <row r="31" spans="1:67" s="17" customFormat="1" x14ac:dyDescent="0.25">
      <c r="A31" s="76" t="s">
        <v>578</v>
      </c>
      <c r="B31" s="71" t="s">
        <v>64</v>
      </c>
      <c r="C31" s="3">
        <v>2010</v>
      </c>
      <c r="D31" s="2">
        <f t="shared" si="3"/>
        <v>6</v>
      </c>
      <c r="E31" s="283"/>
      <c r="F31" s="278"/>
      <c r="G31" s="120"/>
      <c r="H31" s="290"/>
      <c r="I31" s="261"/>
      <c r="J31" s="246"/>
      <c r="K31" s="241"/>
      <c r="L31" s="228"/>
      <c r="M31" s="215"/>
      <c r="N31" s="267">
        <f t="shared" si="4"/>
        <v>6</v>
      </c>
      <c r="O31" s="120"/>
      <c r="P31" s="96">
        <f t="shared" si="5"/>
        <v>6</v>
      </c>
      <c r="Q31" s="97">
        <f t="shared" si="6"/>
        <v>6</v>
      </c>
      <c r="R31" s="215"/>
      <c r="S31" s="108"/>
      <c r="T31" s="208"/>
      <c r="U31" s="108"/>
      <c r="V31" s="108"/>
      <c r="W31" s="108"/>
      <c r="X31" s="108"/>
      <c r="Y31" s="108">
        <f t="shared" si="10"/>
        <v>6</v>
      </c>
      <c r="Z31" s="122"/>
      <c r="AA31" s="96">
        <f t="shared" si="11"/>
        <v>6</v>
      </c>
      <c r="AB31" s="97">
        <f>IF(C31=2012, AA31/3,AA31)+Z31</f>
        <v>6</v>
      </c>
      <c r="AC31" s="286"/>
      <c r="AD31" s="108"/>
      <c r="AE31" s="108"/>
      <c r="AF31" s="108"/>
      <c r="AG31" s="108">
        <f>3</f>
        <v>3</v>
      </c>
      <c r="AH31" s="108">
        <v>3</v>
      </c>
      <c r="AI31" s="122"/>
      <c r="AJ31" s="96">
        <f t="shared" si="12"/>
        <v>6</v>
      </c>
      <c r="AK31" s="97">
        <f>IF(C31=2011, AJ31/3,AJ31)+AI31</f>
        <v>6</v>
      </c>
      <c r="AL31" s="286"/>
      <c r="AM31" s="41"/>
      <c r="AN31" s="41">
        <v>3</v>
      </c>
      <c r="AO31" s="41"/>
      <c r="AP31" s="41"/>
      <c r="AQ31" s="41"/>
      <c r="AR31" s="41"/>
      <c r="AS31" s="41"/>
      <c r="AT31" s="155"/>
      <c r="AU31" s="96"/>
      <c r="AV31" s="97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spans="1:67" x14ac:dyDescent="0.25">
      <c r="A32" s="11" t="s">
        <v>926</v>
      </c>
      <c r="B32" s="12" t="s">
        <v>63</v>
      </c>
      <c r="C32" s="3">
        <v>2013</v>
      </c>
      <c r="D32" s="2">
        <f t="shared" si="3"/>
        <v>54.666666666666671</v>
      </c>
      <c r="E32" s="283">
        <f>6</f>
        <v>6</v>
      </c>
      <c r="F32" s="278">
        <f>6</f>
        <v>6</v>
      </c>
      <c r="H32" s="280"/>
      <c r="I32" s="261">
        <f>8</f>
        <v>8</v>
      </c>
      <c r="J32" s="246">
        <f>25</f>
        <v>25</v>
      </c>
      <c r="K32" s="241">
        <f>16</f>
        <v>16</v>
      </c>
      <c r="N32" s="267">
        <f t="shared" si="4"/>
        <v>34</v>
      </c>
      <c r="O32" s="152">
        <f>15</f>
        <v>15</v>
      </c>
      <c r="P32" s="96">
        <f t="shared" si="5"/>
        <v>83</v>
      </c>
      <c r="Q32" s="97">
        <f t="shared" si="6"/>
        <v>42.666666666666671</v>
      </c>
      <c r="S32" s="108"/>
      <c r="T32" s="108">
        <f>27</f>
        <v>27</v>
      </c>
      <c r="U32" s="108">
        <f>5</f>
        <v>5</v>
      </c>
      <c r="V32" s="108"/>
      <c r="W32" s="108"/>
      <c r="X32" s="108"/>
      <c r="Y32" s="108">
        <f t="shared" si="10"/>
        <v>0</v>
      </c>
      <c r="Z32" s="122">
        <f>2</f>
        <v>2</v>
      </c>
      <c r="AA32" s="96">
        <f t="shared" si="11"/>
        <v>32</v>
      </c>
      <c r="AB32" s="97">
        <f>IF(C32=2017, AA32/3,AA32)+Z32</f>
        <v>34</v>
      </c>
      <c r="AC32" s="101"/>
      <c r="AD32" s="108"/>
      <c r="AE32" s="108"/>
      <c r="AF32" s="108"/>
      <c r="AG32" s="108"/>
      <c r="AH32" s="108"/>
      <c r="AI32" s="122"/>
      <c r="AJ32" s="96"/>
      <c r="AK32" s="97"/>
      <c r="AL32" s="101"/>
      <c r="AM32" s="41"/>
      <c r="AN32" s="41"/>
      <c r="AO32" s="41"/>
      <c r="AP32" s="41"/>
      <c r="AQ32" s="41"/>
      <c r="AR32" s="41"/>
      <c r="AS32" s="41"/>
    </row>
    <row r="33" spans="1:67" x14ac:dyDescent="0.25">
      <c r="A33" s="11" t="s">
        <v>203</v>
      </c>
      <c r="B33" s="12" t="s">
        <v>87</v>
      </c>
      <c r="C33" s="3">
        <v>2009</v>
      </c>
      <c r="D33" s="2">
        <f t="shared" si="3"/>
        <v>3</v>
      </c>
      <c r="E33" s="154"/>
      <c r="F33" s="154"/>
      <c r="H33" s="280"/>
      <c r="L33" s="228">
        <f>3</f>
        <v>3</v>
      </c>
      <c r="N33" s="267">
        <f t="shared" si="4"/>
        <v>0</v>
      </c>
      <c r="O33" s="120"/>
      <c r="P33" s="96">
        <f t="shared" si="5"/>
        <v>3</v>
      </c>
      <c r="Q33" s="97">
        <f t="shared" si="6"/>
        <v>3</v>
      </c>
      <c r="AA33" s="68"/>
      <c r="AB33" s="68"/>
    </row>
    <row r="34" spans="1:67" x14ac:dyDescent="0.25">
      <c r="A34" s="11" t="s">
        <v>1016</v>
      </c>
      <c r="B34" s="12" t="s">
        <v>1010</v>
      </c>
      <c r="C34" s="3">
        <v>2013</v>
      </c>
      <c r="D34" s="2">
        <f t="shared" si="3"/>
        <v>0.66666666666666663</v>
      </c>
      <c r="H34" s="280"/>
      <c r="I34" s="154"/>
      <c r="J34" s="154"/>
      <c r="K34" s="154"/>
      <c r="L34" s="154"/>
      <c r="M34" s="154"/>
      <c r="N34" s="267">
        <f t="shared" si="4"/>
        <v>2</v>
      </c>
      <c r="O34" s="122"/>
      <c r="P34" s="96">
        <f t="shared" si="5"/>
        <v>2</v>
      </c>
      <c r="Q34" s="97">
        <f t="shared" si="6"/>
        <v>0.66666666666666663</v>
      </c>
      <c r="R34" s="154"/>
      <c r="S34" s="108">
        <f>2</f>
        <v>2</v>
      </c>
      <c r="T34" s="74"/>
      <c r="U34" s="108"/>
      <c r="V34" s="108"/>
      <c r="W34" s="108"/>
      <c r="X34" s="108"/>
      <c r="Y34" s="108">
        <f>AK34</f>
        <v>0</v>
      </c>
      <c r="Z34" s="122"/>
      <c r="AA34" s="96">
        <f>S34+T34+U34+V34+W34+X34+Y34</f>
        <v>2</v>
      </c>
      <c r="AB34" s="97">
        <f>IF(C34=2017, AA34/3,AA34)+Z34</f>
        <v>2</v>
      </c>
      <c r="AC34" s="101"/>
      <c r="AD34" s="108"/>
      <c r="AE34" s="108"/>
      <c r="AF34" s="108"/>
      <c r="AG34" s="108"/>
      <c r="AH34" s="108"/>
      <c r="AI34" s="122"/>
      <c r="AJ34" s="96"/>
      <c r="AK34" s="97"/>
      <c r="AL34" s="101"/>
      <c r="AM34" s="41"/>
      <c r="AN34" s="41"/>
      <c r="AO34" s="41"/>
      <c r="AP34" s="41"/>
      <c r="AQ34" s="41"/>
      <c r="AR34" s="41"/>
      <c r="AS34" s="41"/>
    </row>
    <row r="35" spans="1:67" x14ac:dyDescent="0.25">
      <c r="A35" s="11" t="s">
        <v>1237</v>
      </c>
      <c r="B35" s="12" t="s">
        <v>794</v>
      </c>
      <c r="D35" s="2">
        <f t="shared" si="3"/>
        <v>19</v>
      </c>
      <c r="E35" s="108"/>
      <c r="F35" s="108"/>
      <c r="H35" s="101"/>
      <c r="I35" s="261">
        <f>0</f>
        <v>0</v>
      </c>
      <c r="K35" s="241">
        <f>19</f>
        <v>19</v>
      </c>
      <c r="N35" s="267">
        <f t="shared" si="4"/>
        <v>0</v>
      </c>
      <c r="O35" s="152"/>
      <c r="P35" s="96">
        <f t="shared" si="5"/>
        <v>19</v>
      </c>
      <c r="Q35" s="97">
        <f t="shared" si="6"/>
        <v>19</v>
      </c>
      <c r="AA35" s="68"/>
      <c r="AB35" s="68"/>
      <c r="AH35" s="17"/>
    </row>
    <row r="36" spans="1:67" x14ac:dyDescent="0.25">
      <c r="A36" s="11" t="s">
        <v>1012</v>
      </c>
      <c r="B36" s="12" t="s">
        <v>63</v>
      </c>
      <c r="C36" s="3">
        <v>2013</v>
      </c>
      <c r="D36" s="2">
        <f t="shared" si="3"/>
        <v>7</v>
      </c>
      <c r="E36" s="283">
        <f>3</f>
        <v>3</v>
      </c>
      <c r="K36" s="241">
        <f>6</f>
        <v>6</v>
      </c>
      <c r="N36" s="267">
        <f t="shared" si="4"/>
        <v>6</v>
      </c>
      <c r="O36" s="120"/>
      <c r="P36" s="96">
        <f t="shared" si="5"/>
        <v>12</v>
      </c>
      <c r="Q36" s="97">
        <f t="shared" si="6"/>
        <v>4</v>
      </c>
      <c r="S36" s="108">
        <f>6</f>
        <v>6</v>
      </c>
      <c r="T36" s="74"/>
      <c r="U36" s="108"/>
      <c r="V36" s="108"/>
      <c r="W36" s="108"/>
      <c r="X36" s="108"/>
      <c r="Y36" s="108">
        <f>AK36</f>
        <v>0</v>
      </c>
      <c r="Z36" s="122"/>
      <c r="AA36" s="96">
        <f>S36+T36+U36+V36+W36+X36+Y36</f>
        <v>6</v>
      </c>
      <c r="AB36" s="97">
        <f>IF(C36=2017, AA36/3,AA36)+Z36</f>
        <v>6</v>
      </c>
      <c r="AC36" s="101"/>
      <c r="AD36" s="108"/>
      <c r="AE36" s="108"/>
      <c r="AF36" s="108"/>
      <c r="AG36" s="108"/>
      <c r="AH36" s="108"/>
      <c r="AI36" s="122"/>
      <c r="AJ36" s="96"/>
      <c r="AK36" s="97"/>
      <c r="AL36" s="101"/>
      <c r="AM36" s="41"/>
      <c r="AN36" s="41"/>
      <c r="AO36" s="41"/>
      <c r="AP36" s="41"/>
      <c r="AQ36" s="41"/>
      <c r="AR36" s="41"/>
      <c r="AS36" s="41"/>
    </row>
    <row r="37" spans="1:67" x14ac:dyDescent="0.25">
      <c r="A37" s="11" t="s">
        <v>100</v>
      </c>
      <c r="B37" s="12" t="s">
        <v>64</v>
      </c>
      <c r="C37" s="3">
        <v>2010</v>
      </c>
      <c r="D37" s="2">
        <f t="shared" si="3"/>
        <v>0</v>
      </c>
      <c r="H37" s="280"/>
      <c r="N37" s="267">
        <f t="shared" si="4"/>
        <v>0</v>
      </c>
      <c r="O37" s="120"/>
      <c r="P37" s="96">
        <f t="shared" si="5"/>
        <v>0</v>
      </c>
      <c r="Q37" s="97">
        <f t="shared" si="6"/>
        <v>0</v>
      </c>
      <c r="S37" s="108"/>
      <c r="T37" s="108"/>
      <c r="U37" s="108"/>
      <c r="V37" s="108"/>
      <c r="W37" s="108"/>
      <c r="X37" s="108"/>
      <c r="Y37" s="108">
        <f>AK37</f>
        <v>0</v>
      </c>
      <c r="Z37" s="122"/>
      <c r="AA37" s="96">
        <f>S37+T37+U37+V37+W37+X37+Y37</f>
        <v>0</v>
      </c>
      <c r="AB37" s="97">
        <f>IF(C37=2012, AA37/3,AA37)+Z37</f>
        <v>0</v>
      </c>
      <c r="AC37" s="139"/>
      <c r="AD37" s="108"/>
      <c r="AE37" s="108"/>
      <c r="AF37" s="108"/>
      <c r="AG37" s="108"/>
      <c r="AH37" s="108">
        <f>AV37</f>
        <v>0</v>
      </c>
      <c r="AI37" s="122"/>
      <c r="AJ37" s="96">
        <f>SUM(AD37:AH37)</f>
        <v>0</v>
      </c>
      <c r="AK37" s="97">
        <f>IF(C37=2011, AJ37/3,AJ37)+AI37</f>
        <v>0</v>
      </c>
      <c r="AL37" s="91"/>
      <c r="AM37" s="287"/>
      <c r="AN37" s="287"/>
      <c r="AO37" s="287"/>
      <c r="AP37" s="287"/>
      <c r="AQ37" s="287"/>
      <c r="AR37" s="287"/>
      <c r="AS37" s="74"/>
      <c r="AT37" s="95"/>
      <c r="AU37" s="96">
        <f>SUM(AM37:AS37)</f>
        <v>0</v>
      </c>
      <c r="AV37" s="97">
        <f>IF(C37=2010, AU37/3,AU37)+AT37</f>
        <v>0</v>
      </c>
    </row>
    <row r="38" spans="1:67" x14ac:dyDescent="0.25">
      <c r="A38" s="11" t="s">
        <v>110</v>
      </c>
      <c r="B38" s="12" t="s">
        <v>87</v>
      </c>
      <c r="C38" s="3">
        <v>2010</v>
      </c>
      <c r="D38" s="2">
        <f t="shared" si="3"/>
        <v>15</v>
      </c>
      <c r="E38" s="287"/>
      <c r="F38" s="287"/>
      <c r="H38" s="290"/>
      <c r="J38" s="261"/>
      <c r="K38" s="261"/>
      <c r="L38" s="261"/>
      <c r="M38" s="261"/>
      <c r="N38" s="267">
        <f t="shared" si="4"/>
        <v>15</v>
      </c>
      <c r="O38" s="120"/>
      <c r="P38" s="96">
        <f t="shared" si="5"/>
        <v>15</v>
      </c>
      <c r="Q38" s="97">
        <f t="shared" si="6"/>
        <v>15</v>
      </c>
      <c r="R38" s="261"/>
      <c r="S38" s="108"/>
      <c r="T38" s="208"/>
      <c r="U38" s="108"/>
      <c r="V38" s="108"/>
      <c r="W38" s="108"/>
      <c r="X38" s="108"/>
      <c r="Y38" s="108">
        <f>AK38</f>
        <v>15</v>
      </c>
      <c r="Z38" s="122"/>
      <c r="AA38" s="96">
        <f>S38+T38+U38+V38+W38+X38+Y38</f>
        <v>15</v>
      </c>
      <c r="AB38" s="97">
        <f>IF(C38=2012, AA38/3,AA38)+Z38</f>
        <v>15</v>
      </c>
      <c r="AC38" s="286"/>
      <c r="AD38" s="108"/>
      <c r="AE38" s="108"/>
      <c r="AF38" s="108"/>
      <c r="AG38" s="108"/>
      <c r="AH38" s="108">
        <f>AV38</f>
        <v>15</v>
      </c>
      <c r="AI38" s="122"/>
      <c r="AJ38" s="96">
        <f>SUM(AD38:AH38)</f>
        <v>15</v>
      </c>
      <c r="AK38" s="97">
        <f>IF(C38=2011, AJ38/3,AJ38)+AI38</f>
        <v>15</v>
      </c>
      <c r="AL38" s="286"/>
      <c r="AN38" s="13">
        <v>0</v>
      </c>
      <c r="AT38" s="155">
        <f>15</f>
        <v>15</v>
      </c>
      <c r="AU38" s="96">
        <f>SUM(AM38:AS38)</f>
        <v>0</v>
      </c>
      <c r="AV38" s="97">
        <f>IF(C38=2010, AU38/3,AU38)+AT38</f>
        <v>15</v>
      </c>
    </row>
    <row r="39" spans="1:67" x14ac:dyDescent="0.25">
      <c r="A39" s="11" t="s">
        <v>110</v>
      </c>
      <c r="B39" s="12" t="s">
        <v>87</v>
      </c>
      <c r="C39" s="3">
        <v>2010</v>
      </c>
      <c r="D39" s="2">
        <f t="shared" si="3"/>
        <v>0</v>
      </c>
      <c r="E39" s="108"/>
      <c r="F39" s="108"/>
      <c r="H39" s="101"/>
      <c r="L39" s="228">
        <f>0</f>
        <v>0</v>
      </c>
      <c r="N39" s="267">
        <f t="shared" si="4"/>
        <v>0</v>
      </c>
      <c r="O39" s="120"/>
      <c r="P39" s="96">
        <f t="shared" si="5"/>
        <v>0</v>
      </c>
      <c r="Q39" s="97">
        <f t="shared" si="6"/>
        <v>0</v>
      </c>
      <c r="AA39" s="68"/>
      <c r="AB39" s="68"/>
    </row>
    <row r="40" spans="1:67" x14ac:dyDescent="0.25">
      <c r="A40" s="11" t="s">
        <v>104</v>
      </c>
      <c r="B40" s="12" t="s">
        <v>64</v>
      </c>
      <c r="C40" s="3">
        <v>2010</v>
      </c>
      <c r="D40" s="2">
        <f t="shared" si="3"/>
        <v>72</v>
      </c>
      <c r="H40" s="280"/>
      <c r="I40" s="287">
        <f>3</f>
        <v>3</v>
      </c>
      <c r="J40" s="287"/>
      <c r="K40" s="287"/>
      <c r="L40" s="287"/>
      <c r="M40" s="287"/>
      <c r="N40" s="267">
        <f t="shared" si="4"/>
        <v>69</v>
      </c>
      <c r="O40" s="120"/>
      <c r="P40" s="96">
        <f t="shared" si="5"/>
        <v>72</v>
      </c>
      <c r="Q40" s="97">
        <f t="shared" si="6"/>
        <v>72</v>
      </c>
      <c r="R40" s="287"/>
      <c r="S40" s="108"/>
      <c r="T40" s="108"/>
      <c r="U40" s="108"/>
      <c r="V40" s="108"/>
      <c r="W40" s="108">
        <f>0+18</f>
        <v>18</v>
      </c>
      <c r="X40" s="108">
        <f>0+6</f>
        <v>6</v>
      </c>
      <c r="Y40" s="108">
        <f t="shared" ref="Y40:Y47" si="13">AK40</f>
        <v>45</v>
      </c>
      <c r="Z40" s="122"/>
      <c r="AA40" s="96">
        <f t="shared" ref="AA40:AA47" si="14">S40+T40+U40+V40+W40+X40+Y40</f>
        <v>69</v>
      </c>
      <c r="AB40" s="97">
        <f>IF(C40=2012, AA40/3,AA40)+Z40</f>
        <v>69</v>
      </c>
      <c r="AC40" s="286"/>
      <c r="AD40" s="108"/>
      <c r="AE40" s="108">
        <f>0</f>
        <v>0</v>
      </c>
      <c r="AF40" s="108">
        <f>0+39</f>
        <v>39</v>
      </c>
      <c r="AG40" s="108">
        <f>0+3</f>
        <v>3</v>
      </c>
      <c r="AH40" s="108">
        <f>AV40</f>
        <v>3</v>
      </c>
      <c r="AI40" s="122"/>
      <c r="AJ40" s="96">
        <f>SUM(AD40:AH40)</f>
        <v>45</v>
      </c>
      <c r="AK40" s="97">
        <f>IF(C40=2011, AJ40/3,AJ40)+AI40</f>
        <v>45</v>
      </c>
      <c r="AL40" s="286"/>
      <c r="AN40" s="13">
        <v>6</v>
      </c>
      <c r="AS40" s="13">
        <f>3</f>
        <v>3</v>
      </c>
      <c r="AT40" s="95"/>
      <c r="AU40" s="96">
        <f>SUM(AM40:AS40)</f>
        <v>9</v>
      </c>
      <c r="AV40" s="97">
        <f>IF(C40=2010, AU40/3,AU40)+AT40</f>
        <v>3</v>
      </c>
    </row>
    <row r="41" spans="1:67" x14ac:dyDescent="0.25">
      <c r="A41" s="11" t="s">
        <v>136</v>
      </c>
      <c r="B41" s="60" t="s">
        <v>111</v>
      </c>
      <c r="C41" s="62">
        <v>2010</v>
      </c>
      <c r="D41" s="2">
        <f t="shared" si="3"/>
        <v>2.6666666666666665</v>
      </c>
      <c r="E41" s="287"/>
      <c r="F41" s="287"/>
      <c r="H41" s="280"/>
      <c r="J41" s="261"/>
      <c r="K41" s="261"/>
      <c r="L41" s="261"/>
      <c r="M41" s="261"/>
      <c r="N41" s="267">
        <f t="shared" si="4"/>
        <v>2.6666666666666665</v>
      </c>
      <c r="O41" s="120"/>
      <c r="P41" s="96">
        <f t="shared" si="5"/>
        <v>2.6666666666666665</v>
      </c>
      <c r="Q41" s="97">
        <f t="shared" si="6"/>
        <v>2.6666666666666665</v>
      </c>
      <c r="R41" s="261"/>
      <c r="S41" s="108"/>
      <c r="T41" s="108"/>
      <c r="U41" s="108"/>
      <c r="V41" s="108"/>
      <c r="W41" s="108"/>
      <c r="X41" s="108"/>
      <c r="Y41" s="108">
        <f t="shared" si="13"/>
        <v>2.6666666666666665</v>
      </c>
      <c r="Z41" s="122"/>
      <c r="AA41" s="96">
        <f t="shared" si="14"/>
        <v>2.6666666666666665</v>
      </c>
      <c r="AB41" s="97">
        <f>IF(C41=2012, AA41/3,AA41)+Z41</f>
        <v>2.6666666666666665</v>
      </c>
      <c r="AC41" s="260"/>
      <c r="AD41" s="108"/>
      <c r="AE41" s="108"/>
      <c r="AF41" s="108"/>
      <c r="AG41" s="108"/>
      <c r="AH41" s="108">
        <f>AV41</f>
        <v>2.6666666666666665</v>
      </c>
      <c r="AI41" s="122"/>
      <c r="AJ41" s="96">
        <f>SUM(AD41:AH41)</f>
        <v>2.6666666666666665</v>
      </c>
      <c r="AK41" s="97">
        <f>IF(C41=2011, AJ41/3,AJ41)+AI41</f>
        <v>2.6666666666666665</v>
      </c>
      <c r="AL41" s="260"/>
      <c r="AM41" s="41"/>
      <c r="AN41" s="41">
        <v>8</v>
      </c>
      <c r="AO41" s="41"/>
      <c r="AP41" s="41"/>
      <c r="AQ41" s="41"/>
      <c r="AR41" s="41"/>
      <c r="AS41" s="74"/>
      <c r="AT41" s="95"/>
      <c r="AU41" s="96">
        <f>SUM(AM41:AS41)</f>
        <v>8</v>
      </c>
      <c r="AV41" s="97">
        <f>IF(C41=2010, AU41/3,AU41)+AT41</f>
        <v>2.6666666666666665</v>
      </c>
    </row>
    <row r="42" spans="1:67" x14ac:dyDescent="0.25">
      <c r="A42" s="11" t="s">
        <v>966</v>
      </c>
      <c r="B42" s="12" t="s">
        <v>938</v>
      </c>
      <c r="C42" s="3">
        <v>2012</v>
      </c>
      <c r="D42" s="2">
        <f t="shared" si="3"/>
        <v>0</v>
      </c>
      <c r="E42" s="287"/>
      <c r="F42" s="287"/>
      <c r="H42" s="290"/>
      <c r="N42" s="267">
        <f t="shared" si="4"/>
        <v>0</v>
      </c>
      <c r="O42" s="152"/>
      <c r="P42" s="96">
        <f t="shared" si="5"/>
        <v>0</v>
      </c>
      <c r="Q42" s="97">
        <f t="shared" si="6"/>
        <v>0</v>
      </c>
      <c r="S42" s="108">
        <f>0</f>
        <v>0</v>
      </c>
      <c r="T42" s="74"/>
      <c r="U42" s="108"/>
      <c r="V42" s="108"/>
      <c r="W42" s="108"/>
      <c r="X42" s="108"/>
      <c r="Y42" s="108">
        <f t="shared" si="13"/>
        <v>0</v>
      </c>
      <c r="Z42" s="108"/>
      <c r="AA42" s="96">
        <f t="shared" si="14"/>
        <v>0</v>
      </c>
      <c r="AB42" s="97">
        <f>IF(C42=2012, AA42/3,AA42)+Z42</f>
        <v>0</v>
      </c>
      <c r="AD42" s="108"/>
      <c r="AE42" s="108"/>
      <c r="AF42" s="108"/>
      <c r="AG42" s="108"/>
      <c r="AH42" s="108"/>
      <c r="AI42" s="108"/>
      <c r="AT42" s="17"/>
    </row>
    <row r="43" spans="1:67" x14ac:dyDescent="0.25">
      <c r="A43" s="11" t="s">
        <v>109</v>
      </c>
      <c r="B43" s="12" t="s">
        <v>86</v>
      </c>
      <c r="C43" s="3">
        <v>2012</v>
      </c>
      <c r="D43" s="2">
        <f t="shared" si="3"/>
        <v>18</v>
      </c>
      <c r="E43" s="287"/>
      <c r="F43" s="287"/>
      <c r="H43" s="290"/>
      <c r="J43" s="246">
        <f>0</f>
        <v>0</v>
      </c>
      <c r="M43" s="228"/>
      <c r="N43" s="267">
        <f t="shared" si="4"/>
        <v>18</v>
      </c>
      <c r="O43" s="120"/>
      <c r="P43" s="96">
        <f t="shared" si="5"/>
        <v>18</v>
      </c>
      <c r="Q43" s="97">
        <f t="shared" si="6"/>
        <v>18</v>
      </c>
      <c r="R43" s="228"/>
      <c r="S43" s="108">
        <f>12</f>
        <v>12</v>
      </c>
      <c r="T43" s="208"/>
      <c r="U43" s="108"/>
      <c r="V43" s="108"/>
      <c r="W43" s="108"/>
      <c r="X43" s="108"/>
      <c r="Y43" s="108">
        <f t="shared" si="13"/>
        <v>42</v>
      </c>
      <c r="Z43" s="122"/>
      <c r="AA43" s="96">
        <f t="shared" si="14"/>
        <v>54</v>
      </c>
      <c r="AB43" s="97">
        <f>IF(C43=2012, AA43/3,AA43)+Z43</f>
        <v>18</v>
      </c>
      <c r="AC43" s="286"/>
      <c r="AD43" s="108"/>
      <c r="AE43" s="108"/>
      <c r="AF43" s="108"/>
      <c r="AG43" s="108"/>
      <c r="AH43" s="108">
        <f>AV43</f>
        <v>42</v>
      </c>
      <c r="AI43" s="122"/>
      <c r="AJ43" s="96">
        <f>SUM(AD43:AH43)</f>
        <v>42</v>
      </c>
      <c r="AK43" s="97">
        <f>IF(C43=2016, AJ43/3,AJ43)+AI43</f>
        <v>42</v>
      </c>
      <c r="AL43" s="286"/>
      <c r="AN43" s="13">
        <v>9</v>
      </c>
      <c r="AP43" s="13">
        <f>15</f>
        <v>15</v>
      </c>
      <c r="AR43" s="13">
        <f>18</f>
        <v>18</v>
      </c>
      <c r="AT43" s="155"/>
      <c r="AU43" s="96">
        <f>SUM(AM43:AS43)</f>
        <v>42</v>
      </c>
      <c r="AV43" s="97">
        <f>IF(C43=2015, AU43/3,AU43)+AT43</f>
        <v>42</v>
      </c>
    </row>
    <row r="44" spans="1:67" s="17" customFormat="1" x14ac:dyDescent="0.25">
      <c r="A44" s="11" t="s">
        <v>772</v>
      </c>
      <c r="B44" s="12" t="s">
        <v>63</v>
      </c>
      <c r="C44" s="3">
        <v>2013</v>
      </c>
      <c r="D44" s="2">
        <f t="shared" si="3"/>
        <v>0.33333333333333331</v>
      </c>
      <c r="E44" s="108"/>
      <c r="F44" s="108"/>
      <c r="G44" s="120"/>
      <c r="H44" s="101"/>
      <c r="I44" s="261"/>
      <c r="J44" s="246"/>
      <c r="K44" s="241">
        <f>0</f>
        <v>0</v>
      </c>
      <c r="L44" s="228"/>
      <c r="M44" s="228"/>
      <c r="N44" s="267">
        <f t="shared" si="4"/>
        <v>1</v>
      </c>
      <c r="O44" s="152"/>
      <c r="P44" s="96">
        <f t="shared" si="5"/>
        <v>1</v>
      </c>
      <c r="Q44" s="97">
        <f t="shared" si="6"/>
        <v>0.33333333333333331</v>
      </c>
      <c r="R44" s="228"/>
      <c r="S44" s="108">
        <f>0</f>
        <v>0</v>
      </c>
      <c r="T44" s="74"/>
      <c r="U44" s="108">
        <f>0</f>
        <v>0</v>
      </c>
      <c r="V44" s="108">
        <f>0</f>
        <v>0</v>
      </c>
      <c r="W44" s="108">
        <f>0+1</f>
        <v>1</v>
      </c>
      <c r="X44" s="108">
        <f>0</f>
        <v>0</v>
      </c>
      <c r="Y44" s="108">
        <f t="shared" si="13"/>
        <v>0</v>
      </c>
      <c r="Z44" s="122"/>
      <c r="AA44" s="96">
        <f t="shared" si="14"/>
        <v>1</v>
      </c>
      <c r="AB44" s="97">
        <f>IF(C44=2017, AA44/3,AA44)+Z44</f>
        <v>1</v>
      </c>
      <c r="AC44" s="13"/>
      <c r="AD44" s="108"/>
      <c r="AE44" s="108"/>
      <c r="AF44" s="108"/>
      <c r="AG44" s="108"/>
      <c r="AH44" s="108"/>
      <c r="AI44" s="108"/>
      <c r="AJ44" s="3"/>
      <c r="AK44" s="3"/>
      <c r="AL44" s="13"/>
      <c r="AM44" s="13"/>
      <c r="AN44" s="13"/>
      <c r="AO44" s="13"/>
      <c r="AP44" s="13"/>
      <c r="AQ44" s="13"/>
      <c r="AR44" s="13"/>
      <c r="AS44" s="13"/>
      <c r="AU44" s="3"/>
      <c r="AV44" s="3"/>
    </row>
    <row r="45" spans="1:67" s="17" customFormat="1" x14ac:dyDescent="0.25">
      <c r="A45" s="11" t="s">
        <v>268</v>
      </c>
      <c r="B45" s="12" t="s">
        <v>231</v>
      </c>
      <c r="C45" s="3">
        <v>2010</v>
      </c>
      <c r="D45" s="2">
        <f t="shared" si="3"/>
        <v>83.666666666666657</v>
      </c>
      <c r="E45" s="287"/>
      <c r="F45" s="287"/>
      <c r="G45" s="120"/>
      <c r="H45" s="280"/>
      <c r="I45" s="261"/>
      <c r="J45" s="246"/>
      <c r="K45" s="241"/>
      <c r="L45" s="228"/>
      <c r="M45" s="228"/>
      <c r="N45" s="267">
        <f t="shared" si="4"/>
        <v>83.666666666666657</v>
      </c>
      <c r="O45" s="152"/>
      <c r="P45" s="96">
        <f t="shared" si="5"/>
        <v>83.666666666666657</v>
      </c>
      <c r="Q45" s="97">
        <f t="shared" si="6"/>
        <v>83.666666666666657</v>
      </c>
      <c r="R45" s="228"/>
      <c r="S45" s="108"/>
      <c r="T45" s="108"/>
      <c r="U45" s="108"/>
      <c r="V45" s="108"/>
      <c r="W45" s="108"/>
      <c r="X45" s="108"/>
      <c r="Y45" s="108">
        <f t="shared" si="13"/>
        <v>83.666666666666657</v>
      </c>
      <c r="Z45" s="122"/>
      <c r="AA45" s="96">
        <f t="shared" si="14"/>
        <v>83.666666666666657</v>
      </c>
      <c r="AB45" s="97">
        <f>IF(C45=2012, AA45/3,AA45)+Z45</f>
        <v>83.666666666666657</v>
      </c>
      <c r="AC45" s="227"/>
      <c r="AD45" s="108">
        <f>0</f>
        <v>0</v>
      </c>
      <c r="AE45" s="108">
        <f>9</f>
        <v>9</v>
      </c>
      <c r="AF45" s="108">
        <f>28</f>
        <v>28</v>
      </c>
      <c r="AG45" s="108"/>
      <c r="AH45" s="108">
        <f>AV45</f>
        <v>46.666666666666664</v>
      </c>
      <c r="AI45" s="122"/>
      <c r="AJ45" s="96">
        <f>SUM(AD45:AH45)</f>
        <v>83.666666666666657</v>
      </c>
      <c r="AK45" s="97">
        <f>IF(C45=2011, AJ45/3,AJ45)+AI45</f>
        <v>83.666666666666657</v>
      </c>
      <c r="AL45" s="227"/>
      <c r="AM45" s="13"/>
      <c r="AN45" s="13"/>
      <c r="AO45" s="13">
        <f>3</f>
        <v>3</v>
      </c>
      <c r="AP45" s="13">
        <f>30</f>
        <v>30</v>
      </c>
      <c r="AQ45" s="13"/>
      <c r="AR45" s="13">
        <f>3</f>
        <v>3</v>
      </c>
      <c r="AS45" s="13">
        <f>104</f>
        <v>104</v>
      </c>
      <c r="AT45" s="95"/>
      <c r="AU45" s="96">
        <f>SUM(AM45:AS45)</f>
        <v>140</v>
      </c>
      <c r="AV45" s="97">
        <f>IF(C45=2010, AU45/3,AU45)+AT45</f>
        <v>46.666666666666664</v>
      </c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spans="1:67" s="17" customFormat="1" x14ac:dyDescent="0.25">
      <c r="A46" s="11" t="s">
        <v>964</v>
      </c>
      <c r="B46" s="12" t="s">
        <v>938</v>
      </c>
      <c r="C46" s="3">
        <v>2012</v>
      </c>
      <c r="D46" s="2">
        <f t="shared" si="3"/>
        <v>2</v>
      </c>
      <c r="E46" s="283"/>
      <c r="F46" s="278"/>
      <c r="G46" s="120"/>
      <c r="H46" s="280"/>
      <c r="I46" s="108"/>
      <c r="J46" s="108"/>
      <c r="K46" s="108"/>
      <c r="L46" s="108"/>
      <c r="M46" s="108"/>
      <c r="N46" s="267">
        <f t="shared" si="4"/>
        <v>2</v>
      </c>
      <c r="O46" s="122"/>
      <c r="P46" s="96">
        <f t="shared" si="5"/>
        <v>2</v>
      </c>
      <c r="Q46" s="97">
        <f t="shared" si="6"/>
        <v>2</v>
      </c>
      <c r="R46" s="108"/>
      <c r="S46" s="108">
        <f>6</f>
        <v>6</v>
      </c>
      <c r="T46" s="74"/>
      <c r="U46" s="108"/>
      <c r="V46" s="108"/>
      <c r="W46" s="108"/>
      <c r="X46" s="108"/>
      <c r="Y46" s="108">
        <f t="shared" si="13"/>
        <v>0</v>
      </c>
      <c r="Z46" s="108"/>
      <c r="AA46" s="96">
        <f t="shared" si="14"/>
        <v>6</v>
      </c>
      <c r="AB46" s="97">
        <f>IF(C46=2012, AA46/3,AA46)+Z46</f>
        <v>2</v>
      </c>
      <c r="AC46" s="13"/>
      <c r="AD46" s="108"/>
      <c r="AE46" s="108"/>
      <c r="AF46" s="108"/>
      <c r="AG46" s="108"/>
      <c r="AH46" s="108"/>
      <c r="AI46" s="108"/>
      <c r="AJ46" s="3"/>
      <c r="AK46" s="3"/>
      <c r="AL46" s="13"/>
      <c r="AM46" s="13"/>
      <c r="AN46" s="13"/>
      <c r="AO46" s="13"/>
      <c r="AP46" s="13"/>
      <c r="AQ46" s="13"/>
      <c r="AR46" s="13"/>
      <c r="AS46" s="1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spans="1:67" x14ac:dyDescent="0.25">
      <c r="A47" s="11" t="s">
        <v>343</v>
      </c>
      <c r="B47" s="12" t="s">
        <v>86</v>
      </c>
      <c r="C47" s="3">
        <v>2010</v>
      </c>
      <c r="D47" s="2">
        <f t="shared" si="3"/>
        <v>0</v>
      </c>
      <c r="E47" s="154"/>
      <c r="F47" s="154"/>
      <c r="H47" s="280"/>
      <c r="N47" s="267">
        <f t="shared" si="4"/>
        <v>0</v>
      </c>
      <c r="O47" s="152"/>
      <c r="P47" s="96">
        <f t="shared" si="5"/>
        <v>0</v>
      </c>
      <c r="Q47" s="97">
        <f t="shared" si="6"/>
        <v>0</v>
      </c>
      <c r="S47" s="108"/>
      <c r="T47" s="208"/>
      <c r="U47" s="108"/>
      <c r="V47" s="108"/>
      <c r="W47" s="108"/>
      <c r="X47" s="108"/>
      <c r="Y47" s="108">
        <f t="shared" si="13"/>
        <v>0</v>
      </c>
      <c r="Z47" s="122"/>
      <c r="AA47" s="96">
        <f t="shared" si="14"/>
        <v>0</v>
      </c>
      <c r="AB47" s="97">
        <f>IF(C47=2012, AA47/3,AA47)+Z47</f>
        <v>0</v>
      </c>
      <c r="AC47" s="286"/>
      <c r="AD47" s="108"/>
      <c r="AE47" s="108"/>
      <c r="AF47" s="108"/>
      <c r="AG47" s="108"/>
      <c r="AH47" s="108">
        <f>AV47</f>
        <v>0</v>
      </c>
      <c r="AI47" s="122"/>
      <c r="AJ47" s="96">
        <f>SUM(AD47:AH47)</f>
        <v>0</v>
      </c>
      <c r="AK47" s="97">
        <f>IF(C47=2011, AJ47/3,AJ47)+AI47</f>
        <v>0</v>
      </c>
      <c r="AL47" s="286"/>
      <c r="AP47" s="13">
        <f>0</f>
        <v>0</v>
      </c>
      <c r="AT47" s="155"/>
      <c r="AU47" s="96">
        <f>SUM(AM47:AS47)</f>
        <v>0</v>
      </c>
      <c r="AV47" s="97">
        <f>IF(C47=2010, AU47/3,AU47)+AT47</f>
        <v>0</v>
      </c>
    </row>
    <row r="48" spans="1:67" s="17" customFormat="1" x14ac:dyDescent="0.25">
      <c r="A48" s="304" t="s">
        <v>15</v>
      </c>
      <c r="B48" s="305"/>
      <c r="C48" s="306"/>
      <c r="D48" s="2"/>
      <c r="E48" s="283"/>
      <c r="F48" s="278"/>
      <c r="G48" s="120"/>
      <c r="H48" s="280"/>
      <c r="I48" s="261"/>
      <c r="J48" s="246"/>
      <c r="K48" s="241"/>
      <c r="L48" s="228"/>
      <c r="M48" s="215"/>
      <c r="N48" s="267">
        <f t="shared" ref="N48:N49" si="15">AB48</f>
        <v>0</v>
      </c>
      <c r="O48" s="152"/>
      <c r="P48" s="96">
        <f t="shared" ref="P48:P49" si="16">I48+J48+K48+L48+M48+N48</f>
        <v>0</v>
      </c>
      <c r="Q48" s="97">
        <f t="shared" ref="Q48:Q49" si="17">IF(C48=2013, P48/3,P48)+O48</f>
        <v>0</v>
      </c>
      <c r="R48" s="215"/>
      <c r="S48" s="108"/>
      <c r="T48" s="108"/>
      <c r="U48" s="108"/>
      <c r="V48" s="108"/>
      <c r="W48" s="108"/>
      <c r="X48" s="108"/>
      <c r="Y48" s="108"/>
      <c r="Z48" s="108"/>
      <c r="AA48" s="96"/>
      <c r="AB48" s="97"/>
      <c r="AC48" s="141"/>
      <c r="AD48" s="108"/>
      <c r="AE48" s="108"/>
      <c r="AF48" s="108"/>
      <c r="AG48" s="108"/>
      <c r="AH48" s="108"/>
      <c r="AI48" s="108"/>
      <c r="AJ48" s="68"/>
      <c r="AK48" s="68"/>
      <c r="AL48" s="141"/>
      <c r="AM48" s="141"/>
      <c r="AN48" s="141"/>
      <c r="AO48" s="141"/>
      <c r="AP48" s="141"/>
      <c r="AQ48" s="141"/>
      <c r="AR48" s="141"/>
      <c r="AS48" s="141"/>
      <c r="AT48" s="68"/>
      <c r="AU48" s="68">
        <f>SUM(AM48:AS48)</f>
        <v>0</v>
      </c>
      <c r="AV48" s="68">
        <f>IF(C48=2010, AU48/3,AU48)+AT48</f>
        <v>0</v>
      </c>
    </row>
    <row r="49" spans="1:48" s="17" customFormat="1" x14ac:dyDescent="0.25">
      <c r="A49" s="11" t="s">
        <v>1350</v>
      </c>
      <c r="B49" s="12" t="s">
        <v>1315</v>
      </c>
      <c r="C49" s="3"/>
      <c r="D49" s="2">
        <f t="shared" ref="D49:D51" si="18">Q49+F49+E49</f>
        <v>0</v>
      </c>
      <c r="E49" s="283"/>
      <c r="F49" s="278"/>
      <c r="G49" s="120"/>
      <c r="H49" s="280"/>
      <c r="I49" s="261">
        <f>0</f>
        <v>0</v>
      </c>
      <c r="J49" s="261"/>
      <c r="K49" s="261"/>
      <c r="L49" s="261"/>
      <c r="M49" s="261"/>
      <c r="N49" s="267">
        <f t="shared" si="15"/>
        <v>0</v>
      </c>
      <c r="O49" s="152"/>
      <c r="P49" s="96">
        <f t="shared" si="16"/>
        <v>0</v>
      </c>
      <c r="Q49" s="97">
        <f t="shared" si="17"/>
        <v>0</v>
      </c>
      <c r="R49" s="261"/>
      <c r="S49" s="108"/>
      <c r="T49" s="108"/>
      <c r="U49" s="108"/>
      <c r="V49" s="108"/>
      <c r="W49" s="108"/>
      <c r="X49" s="108"/>
      <c r="Y49" s="108"/>
      <c r="Z49" s="108"/>
      <c r="AA49" s="96"/>
      <c r="AB49" s="97"/>
      <c r="AC49" s="260"/>
      <c r="AD49" s="108"/>
      <c r="AE49" s="108"/>
      <c r="AF49" s="108"/>
      <c r="AG49" s="108"/>
      <c r="AH49" s="108"/>
      <c r="AI49" s="108"/>
      <c r="AJ49" s="68"/>
      <c r="AK49" s="68"/>
      <c r="AL49" s="260"/>
      <c r="AM49" s="260"/>
      <c r="AN49" s="260"/>
      <c r="AO49" s="260"/>
      <c r="AP49" s="260"/>
      <c r="AQ49" s="260"/>
      <c r="AR49" s="260"/>
      <c r="AS49" s="260"/>
      <c r="AT49" s="68"/>
      <c r="AU49" s="68"/>
      <c r="AV49" s="68"/>
    </row>
    <row r="50" spans="1:48" s="17" customFormat="1" x14ac:dyDescent="0.25">
      <c r="A50" s="11" t="s">
        <v>1394</v>
      </c>
      <c r="B50" s="12" t="s">
        <v>6</v>
      </c>
      <c r="C50" s="3">
        <v>2011</v>
      </c>
      <c r="D50" s="2">
        <f t="shared" si="18"/>
        <v>3</v>
      </c>
      <c r="E50" s="283">
        <f>3</f>
        <v>3</v>
      </c>
      <c r="F50" s="278">
        <f>0</f>
        <v>0</v>
      </c>
      <c r="G50" s="120"/>
      <c r="H50" s="280"/>
      <c r="I50" s="278"/>
      <c r="J50" s="278"/>
      <c r="K50" s="278"/>
      <c r="L50" s="278"/>
      <c r="M50" s="278"/>
      <c r="N50" s="278"/>
      <c r="O50" s="152"/>
      <c r="P50" s="96"/>
      <c r="Q50" s="97"/>
      <c r="R50" s="278"/>
      <c r="S50" s="108"/>
      <c r="T50" s="108"/>
      <c r="U50" s="108"/>
      <c r="V50" s="108"/>
      <c r="W50" s="108"/>
      <c r="X50" s="108"/>
      <c r="Y50" s="108"/>
      <c r="Z50" s="108"/>
      <c r="AA50" s="96"/>
      <c r="AB50" s="97"/>
      <c r="AC50" s="277"/>
      <c r="AD50" s="108"/>
      <c r="AE50" s="108"/>
      <c r="AF50" s="108"/>
      <c r="AG50" s="108"/>
      <c r="AH50" s="108"/>
      <c r="AI50" s="108"/>
      <c r="AJ50" s="68"/>
      <c r="AK50" s="68"/>
      <c r="AL50" s="277"/>
      <c r="AM50" s="277"/>
      <c r="AN50" s="277"/>
      <c r="AO50" s="277"/>
      <c r="AP50" s="277"/>
      <c r="AQ50" s="277"/>
      <c r="AR50" s="277"/>
      <c r="AS50" s="277"/>
      <c r="AT50" s="280"/>
      <c r="AU50" s="68"/>
      <c r="AV50" s="68"/>
    </row>
    <row r="51" spans="1:48" x14ac:dyDescent="0.25">
      <c r="A51" s="11" t="s">
        <v>1422</v>
      </c>
      <c r="B51" s="12" t="s">
        <v>1401</v>
      </c>
      <c r="C51" s="3">
        <v>2013</v>
      </c>
      <c r="D51" s="2">
        <f t="shared" si="18"/>
        <v>6</v>
      </c>
      <c r="E51" s="154">
        <f>0+6</f>
        <v>6</v>
      </c>
      <c r="F51" s="154"/>
      <c r="H51" s="284"/>
      <c r="I51" s="283"/>
      <c r="J51" s="283"/>
      <c r="K51" s="283"/>
      <c r="L51" s="283"/>
      <c r="M51" s="283"/>
      <c r="N51" s="283"/>
      <c r="O51" s="120"/>
      <c r="P51" s="96"/>
      <c r="Q51" s="97"/>
      <c r="R51" s="283"/>
      <c r="T51" s="17"/>
      <c r="AA51" s="68"/>
      <c r="AB51" s="68"/>
      <c r="AT51" s="74"/>
    </row>
    <row r="52" spans="1:48" x14ac:dyDescent="0.25">
      <c r="H52" s="280"/>
      <c r="O52" s="152"/>
      <c r="P52" s="68"/>
      <c r="Q52" s="68"/>
      <c r="AA52" s="68"/>
      <c r="AB52" s="68"/>
    </row>
    <row r="53" spans="1:48" x14ac:dyDescent="0.25">
      <c r="E53" s="108"/>
      <c r="F53" s="108"/>
      <c r="H53" s="101"/>
      <c r="I53" s="154"/>
      <c r="J53" s="154"/>
      <c r="K53" s="154"/>
      <c r="L53" s="154"/>
      <c r="M53" s="154"/>
      <c r="N53" s="154"/>
      <c r="O53" s="122"/>
      <c r="P53" s="68"/>
      <c r="Q53" s="68"/>
      <c r="R53" s="154"/>
      <c r="AA53" s="68"/>
      <c r="AB53" s="68"/>
    </row>
    <row r="54" spans="1:48" x14ac:dyDescent="0.25">
      <c r="H54" s="280"/>
      <c r="I54" s="154"/>
      <c r="J54" s="154"/>
      <c r="K54" s="154"/>
      <c r="L54" s="154"/>
      <c r="M54" s="154"/>
      <c r="N54" s="154"/>
      <c r="O54" s="122"/>
      <c r="P54" s="68"/>
      <c r="Q54" s="68"/>
      <c r="R54" s="154"/>
      <c r="AA54" s="68"/>
      <c r="AB54" s="68"/>
    </row>
    <row r="55" spans="1:48" x14ac:dyDescent="0.25">
      <c r="H55" s="280"/>
      <c r="O55" s="120"/>
      <c r="P55" s="68"/>
      <c r="Q55" s="68"/>
      <c r="AA55" s="68"/>
      <c r="AB55" s="68"/>
    </row>
    <row r="56" spans="1:48" x14ac:dyDescent="0.25">
      <c r="H56" s="280"/>
      <c r="O56" s="152"/>
      <c r="P56" s="68"/>
      <c r="Q56" s="68"/>
      <c r="AA56" s="68"/>
      <c r="AB56" s="68"/>
    </row>
    <row r="57" spans="1:48" x14ac:dyDescent="0.25">
      <c r="H57" s="280"/>
      <c r="O57" s="152"/>
      <c r="P57" s="68"/>
      <c r="Q57" s="68"/>
      <c r="AA57" s="68"/>
      <c r="AB57" s="68"/>
    </row>
    <row r="58" spans="1:48" x14ac:dyDescent="0.25">
      <c r="H58" s="280"/>
      <c r="I58" s="154"/>
      <c r="J58" s="154"/>
      <c r="K58" s="154"/>
      <c r="L58" s="154"/>
      <c r="M58" s="154"/>
      <c r="N58" s="154"/>
      <c r="O58" s="122"/>
      <c r="P58" s="68"/>
      <c r="Q58" s="68"/>
      <c r="R58" s="154"/>
      <c r="AA58" s="68"/>
      <c r="AB58" s="68"/>
    </row>
    <row r="59" spans="1:48" x14ac:dyDescent="0.25">
      <c r="I59" s="108"/>
      <c r="J59" s="108"/>
      <c r="K59" s="108"/>
      <c r="L59" s="108"/>
      <c r="M59" s="108"/>
      <c r="N59" s="108"/>
      <c r="O59" s="122"/>
      <c r="P59" s="68"/>
      <c r="Q59" s="68"/>
      <c r="R59" s="108"/>
      <c r="AA59" s="68"/>
      <c r="AB59" s="68"/>
    </row>
    <row r="60" spans="1:48" x14ac:dyDescent="0.25">
      <c r="H60" s="280"/>
      <c r="O60" s="152"/>
      <c r="P60" s="68"/>
      <c r="Q60" s="68"/>
      <c r="AA60" s="68"/>
      <c r="AB60" s="68"/>
    </row>
    <row r="61" spans="1:48" x14ac:dyDescent="0.25">
      <c r="H61" s="280"/>
      <c r="I61" s="108"/>
      <c r="J61" s="108"/>
      <c r="K61" s="108"/>
      <c r="L61" s="108"/>
      <c r="M61" s="108"/>
      <c r="N61" s="108"/>
      <c r="O61" s="122"/>
      <c r="P61" s="68"/>
      <c r="Q61" s="68"/>
      <c r="R61" s="108"/>
      <c r="AA61" s="68"/>
      <c r="AB61" s="68"/>
    </row>
    <row r="62" spans="1:48" x14ac:dyDescent="0.25">
      <c r="E62" s="108"/>
      <c r="F62" s="108"/>
      <c r="H62" s="101"/>
      <c r="O62" s="120"/>
      <c r="P62" s="68"/>
      <c r="Q62" s="68"/>
      <c r="AA62" s="68"/>
      <c r="AB62" s="68"/>
    </row>
    <row r="63" spans="1:48" x14ac:dyDescent="0.25">
      <c r="O63" s="120"/>
      <c r="P63" s="68"/>
      <c r="Q63" s="68"/>
      <c r="AA63" s="68"/>
      <c r="AB63" s="68"/>
    </row>
    <row r="64" spans="1:48" x14ac:dyDescent="0.25">
      <c r="E64" s="154"/>
      <c r="F64" s="154"/>
      <c r="H64" s="280"/>
      <c r="O64" s="120"/>
      <c r="P64" s="68"/>
      <c r="Q64" s="68"/>
      <c r="AA64" s="68"/>
      <c r="AB64" s="68"/>
    </row>
    <row r="65" spans="5:28" x14ac:dyDescent="0.25">
      <c r="H65" s="280"/>
      <c r="O65" s="152"/>
      <c r="P65" s="68"/>
      <c r="Q65" s="68"/>
      <c r="AA65" s="68"/>
      <c r="AB65" s="68"/>
    </row>
    <row r="66" spans="5:28" x14ac:dyDescent="0.25">
      <c r="E66" s="154"/>
      <c r="F66" s="154"/>
      <c r="H66" s="280"/>
      <c r="O66" s="152"/>
      <c r="P66" s="68"/>
      <c r="Q66" s="68"/>
      <c r="AA66" s="68"/>
      <c r="AB66" s="68"/>
    </row>
    <row r="67" spans="5:28" x14ac:dyDescent="0.25">
      <c r="H67" s="280"/>
      <c r="O67" s="120"/>
      <c r="P67" s="68"/>
      <c r="Q67" s="68"/>
      <c r="AA67" s="68"/>
      <c r="AB67" s="68"/>
    </row>
    <row r="68" spans="5:28" x14ac:dyDescent="0.25">
      <c r="H68" s="280"/>
      <c r="O68" s="152"/>
      <c r="P68" s="68"/>
      <c r="Q68" s="68"/>
      <c r="AA68" s="68"/>
      <c r="AB68" s="68"/>
    </row>
    <row r="69" spans="5:28" x14ac:dyDescent="0.25">
      <c r="E69" s="154"/>
      <c r="F69" s="154"/>
      <c r="H69" s="280"/>
      <c r="O69" s="120"/>
      <c r="P69" s="68"/>
      <c r="Q69" s="68"/>
      <c r="AA69" s="68"/>
      <c r="AB69" s="68"/>
    </row>
    <row r="70" spans="5:28" x14ac:dyDescent="0.25">
      <c r="H70" s="280"/>
      <c r="I70" s="108"/>
      <c r="J70" s="108"/>
      <c r="K70" s="108"/>
      <c r="L70" s="108"/>
      <c r="M70" s="108"/>
      <c r="N70" s="108"/>
      <c r="O70" s="122"/>
      <c r="P70" s="68"/>
      <c r="Q70" s="68"/>
      <c r="R70" s="108"/>
      <c r="AA70" s="68"/>
      <c r="AB70" s="68"/>
    </row>
    <row r="71" spans="5:28" x14ac:dyDescent="0.25">
      <c r="E71" s="154"/>
      <c r="F71" s="154"/>
      <c r="H71" s="280"/>
      <c r="I71" s="154"/>
      <c r="J71" s="154"/>
      <c r="K71" s="154"/>
      <c r="L71" s="154"/>
      <c r="M71" s="154"/>
      <c r="N71" s="154"/>
      <c r="O71" s="122"/>
      <c r="P71" s="68"/>
      <c r="Q71" s="68"/>
      <c r="R71" s="154"/>
      <c r="AA71" s="68"/>
      <c r="AB71" s="68"/>
    </row>
    <row r="72" spans="5:28" x14ac:dyDescent="0.25">
      <c r="E72" s="154"/>
      <c r="F72" s="154"/>
      <c r="O72" s="120"/>
      <c r="P72" s="68"/>
      <c r="Q72" s="68"/>
      <c r="AA72" s="68"/>
      <c r="AB72" s="68"/>
    </row>
    <row r="73" spans="5:28" x14ac:dyDescent="0.25">
      <c r="E73" s="108"/>
      <c r="F73" s="108"/>
      <c r="H73" s="101"/>
      <c r="O73" s="120"/>
      <c r="P73" s="68"/>
      <c r="Q73" s="68"/>
      <c r="AA73" s="68"/>
      <c r="AB73" s="68"/>
    </row>
    <row r="74" spans="5:28" x14ac:dyDescent="0.25">
      <c r="I74" s="154"/>
      <c r="J74" s="154"/>
      <c r="K74" s="154"/>
      <c r="L74" s="154"/>
      <c r="M74" s="154"/>
      <c r="N74" s="154"/>
      <c r="O74" s="152"/>
      <c r="P74" s="68"/>
      <c r="Q74" s="68"/>
      <c r="R74" s="154"/>
      <c r="AA74" s="68"/>
      <c r="AB74" s="68"/>
    </row>
    <row r="75" spans="5:28" x14ac:dyDescent="0.25">
      <c r="I75" s="154"/>
      <c r="J75" s="154"/>
      <c r="K75" s="154"/>
      <c r="L75" s="154"/>
      <c r="M75" s="154"/>
      <c r="N75" s="154"/>
      <c r="O75" s="152"/>
      <c r="P75" s="68"/>
      <c r="Q75" s="68"/>
      <c r="R75" s="154"/>
      <c r="AA75" s="68"/>
      <c r="AB75" s="68"/>
    </row>
    <row r="76" spans="5:28" x14ac:dyDescent="0.25">
      <c r="H76" s="280"/>
      <c r="O76" s="120"/>
      <c r="P76" s="68"/>
      <c r="Q76" s="68"/>
      <c r="AA76" s="68"/>
      <c r="AB76" s="68"/>
    </row>
    <row r="77" spans="5:28" x14ac:dyDescent="0.25">
      <c r="E77" s="154"/>
      <c r="F77" s="154"/>
      <c r="H77" s="280"/>
      <c r="O77" s="120"/>
      <c r="P77" s="68"/>
      <c r="Q77" s="68"/>
      <c r="AA77" s="68"/>
      <c r="AB77" s="68"/>
    </row>
    <row r="78" spans="5:28" x14ac:dyDescent="0.25">
      <c r="I78" s="154"/>
      <c r="J78" s="154"/>
      <c r="K78" s="154"/>
      <c r="L78" s="154"/>
      <c r="M78" s="154"/>
      <c r="N78" s="154"/>
      <c r="O78" s="122"/>
      <c r="P78" s="68"/>
      <c r="Q78" s="68"/>
      <c r="R78" s="154"/>
      <c r="AA78" s="68"/>
      <c r="AB78" s="68"/>
    </row>
    <row r="79" spans="5:28" x14ac:dyDescent="0.25">
      <c r="E79" s="154"/>
      <c r="F79" s="154"/>
      <c r="O79" s="120"/>
      <c r="P79" s="68"/>
      <c r="Q79" s="68"/>
      <c r="AA79" s="68"/>
      <c r="AB79" s="68"/>
    </row>
    <row r="80" spans="5:28" x14ac:dyDescent="0.25">
      <c r="E80" s="108"/>
      <c r="F80" s="108"/>
      <c r="H80" s="101"/>
      <c r="O80" s="120"/>
      <c r="P80" s="68"/>
      <c r="Q80" s="68"/>
      <c r="AA80" s="68"/>
      <c r="AB80" s="68"/>
    </row>
    <row r="81" spans="5:28" x14ac:dyDescent="0.25">
      <c r="E81" s="154"/>
      <c r="F81" s="154"/>
      <c r="H81" s="280"/>
      <c r="I81" s="154"/>
      <c r="J81" s="154"/>
      <c r="K81" s="154"/>
      <c r="L81" s="154"/>
      <c r="M81" s="154"/>
      <c r="N81" s="154"/>
      <c r="O81" s="152"/>
      <c r="P81" s="68"/>
      <c r="Q81" s="68"/>
      <c r="R81" s="154"/>
      <c r="AA81" s="68"/>
      <c r="AB81" s="68"/>
    </row>
    <row r="82" spans="5:28" x14ac:dyDescent="0.25">
      <c r="E82" s="154"/>
      <c r="F82" s="154"/>
      <c r="O82" s="120"/>
      <c r="P82" s="68"/>
      <c r="Q82" s="68"/>
      <c r="AA82" s="68"/>
      <c r="AB82" s="68"/>
    </row>
    <row r="83" spans="5:28" x14ac:dyDescent="0.25">
      <c r="H83" s="280"/>
      <c r="I83" s="154"/>
      <c r="J83" s="154"/>
      <c r="K83" s="154"/>
      <c r="L83" s="154"/>
      <c r="M83" s="154"/>
      <c r="N83" s="154"/>
      <c r="O83" s="152"/>
      <c r="P83" s="68"/>
      <c r="Q83" s="68"/>
      <c r="R83" s="154"/>
      <c r="AA83" s="68"/>
      <c r="AB83" s="68"/>
    </row>
    <row r="84" spans="5:28" x14ac:dyDescent="0.25">
      <c r="H84" s="280"/>
      <c r="I84" s="108"/>
      <c r="J84" s="108"/>
      <c r="K84" s="108"/>
      <c r="L84" s="108"/>
      <c r="M84" s="108"/>
      <c r="N84" s="108"/>
      <c r="O84" s="122"/>
      <c r="P84" s="68"/>
      <c r="Q84" s="68"/>
      <c r="R84" s="108"/>
      <c r="AA84" s="68"/>
      <c r="AB84" s="68"/>
    </row>
    <row r="85" spans="5:28" x14ac:dyDescent="0.25">
      <c r="E85" s="250"/>
      <c r="F85" s="250"/>
      <c r="O85" s="152"/>
      <c r="P85" s="68"/>
      <c r="Q85" s="68"/>
      <c r="AA85" s="68"/>
      <c r="AB85" s="68"/>
    </row>
    <row r="86" spans="5:28" x14ac:dyDescent="0.25">
      <c r="E86" s="154"/>
      <c r="F86" s="154"/>
      <c r="I86" s="154"/>
      <c r="J86" s="154"/>
      <c r="K86" s="154"/>
      <c r="L86" s="154"/>
      <c r="M86" s="154"/>
      <c r="N86" s="154"/>
      <c r="O86" s="122"/>
      <c r="P86" s="68"/>
      <c r="Q86" s="68"/>
      <c r="R86" s="154"/>
      <c r="AA86" s="68"/>
      <c r="AB86" s="68"/>
    </row>
    <row r="87" spans="5:28" x14ac:dyDescent="0.25">
      <c r="H87" s="280"/>
      <c r="O87" s="120"/>
      <c r="P87" s="68"/>
      <c r="Q87" s="68"/>
      <c r="AA87" s="68"/>
      <c r="AB87" s="68"/>
    </row>
    <row r="88" spans="5:28" x14ac:dyDescent="0.25">
      <c r="E88" s="154"/>
      <c r="F88" s="154"/>
      <c r="O88" s="120"/>
      <c r="P88" s="68"/>
      <c r="Q88" s="68"/>
      <c r="AA88" s="68"/>
      <c r="AB88" s="68"/>
    </row>
    <row r="89" spans="5:28" x14ac:dyDescent="0.25">
      <c r="H89" s="280"/>
      <c r="I89" s="154"/>
      <c r="J89" s="154"/>
      <c r="K89" s="154"/>
      <c r="L89" s="154"/>
      <c r="M89" s="154"/>
      <c r="N89" s="154"/>
      <c r="O89" s="152"/>
      <c r="P89" s="68"/>
      <c r="Q89" s="68"/>
      <c r="R89" s="154"/>
      <c r="AA89" s="68"/>
      <c r="AB89" s="68"/>
    </row>
    <row r="90" spans="5:28" x14ac:dyDescent="0.25">
      <c r="E90" s="154"/>
      <c r="F90" s="154"/>
      <c r="I90" s="154"/>
      <c r="J90" s="154"/>
      <c r="K90" s="154"/>
      <c r="L90" s="154"/>
      <c r="M90" s="154"/>
      <c r="N90" s="154"/>
      <c r="O90" s="152"/>
      <c r="P90" s="68"/>
      <c r="Q90" s="68"/>
      <c r="R90" s="154"/>
      <c r="AA90" s="68"/>
      <c r="AB90" s="68"/>
    </row>
    <row r="91" spans="5:28" x14ac:dyDescent="0.25">
      <c r="H91" s="280"/>
      <c r="I91" s="108"/>
      <c r="J91" s="108"/>
      <c r="K91" s="108"/>
      <c r="L91" s="108"/>
      <c r="M91" s="108"/>
      <c r="N91" s="108"/>
      <c r="O91" s="122"/>
      <c r="P91" s="68"/>
      <c r="Q91" s="68"/>
      <c r="R91" s="108"/>
      <c r="AA91" s="68"/>
      <c r="AB91" s="68"/>
    </row>
    <row r="92" spans="5:28" x14ac:dyDescent="0.25">
      <c r="E92" s="154"/>
      <c r="F92" s="154"/>
      <c r="I92" s="154"/>
      <c r="J92" s="154"/>
      <c r="K92" s="154"/>
      <c r="L92" s="154"/>
      <c r="M92" s="154"/>
      <c r="N92" s="154"/>
      <c r="O92" s="152"/>
      <c r="P92" s="68"/>
      <c r="Q92" s="68"/>
      <c r="R92" s="154"/>
      <c r="AA92" s="68"/>
      <c r="AB92" s="68"/>
    </row>
    <row r="93" spans="5:28" x14ac:dyDescent="0.25">
      <c r="E93" s="154"/>
      <c r="F93" s="154"/>
      <c r="I93" s="154"/>
      <c r="J93" s="154"/>
      <c r="K93" s="154"/>
      <c r="L93" s="154"/>
      <c r="M93" s="154"/>
      <c r="N93" s="154"/>
      <c r="O93" s="152"/>
      <c r="P93" s="68"/>
      <c r="Q93" s="68"/>
      <c r="R93" s="154"/>
      <c r="AA93" s="68"/>
      <c r="AB93" s="68"/>
    </row>
    <row r="94" spans="5:28" x14ac:dyDescent="0.25">
      <c r="H94" s="280"/>
      <c r="O94" s="120"/>
      <c r="P94" s="68"/>
      <c r="Q94" s="68"/>
      <c r="AA94" s="68"/>
      <c r="AB94" s="68"/>
    </row>
    <row r="95" spans="5:28" x14ac:dyDescent="0.25">
      <c r="H95" s="280"/>
      <c r="O95" s="120"/>
      <c r="P95" s="68"/>
      <c r="Q95" s="68"/>
      <c r="AA95" s="68"/>
      <c r="AB95" s="68"/>
    </row>
    <row r="96" spans="5:28" x14ac:dyDescent="0.25">
      <c r="E96" s="108"/>
      <c r="F96" s="108"/>
      <c r="H96" s="101"/>
      <c r="O96" s="152"/>
      <c r="P96" s="68"/>
      <c r="Q96" s="68"/>
      <c r="AA96" s="68"/>
      <c r="AB96" s="68"/>
    </row>
    <row r="97" spans="5:28" x14ac:dyDescent="0.25">
      <c r="E97" s="154"/>
      <c r="F97" s="154"/>
      <c r="H97" s="280"/>
      <c r="O97" s="152"/>
      <c r="P97" s="68"/>
      <c r="Q97" s="68"/>
      <c r="AA97" s="68"/>
      <c r="AB97" s="68"/>
    </row>
    <row r="98" spans="5:28" x14ac:dyDescent="0.25">
      <c r="H98" s="280"/>
      <c r="O98" s="120"/>
      <c r="P98" s="68"/>
      <c r="Q98" s="68"/>
      <c r="AA98" s="68"/>
      <c r="AB98" s="68"/>
    </row>
    <row r="99" spans="5:28" x14ac:dyDescent="0.25">
      <c r="I99" s="154"/>
      <c r="J99" s="154"/>
      <c r="K99" s="154"/>
      <c r="L99" s="154"/>
      <c r="M99" s="154"/>
      <c r="N99" s="154"/>
      <c r="O99" s="152"/>
      <c r="P99" s="68"/>
      <c r="Q99" s="68"/>
      <c r="R99" s="154"/>
      <c r="AA99" s="68"/>
      <c r="AB99" s="68"/>
    </row>
    <row r="100" spans="5:28" x14ac:dyDescent="0.25">
      <c r="H100" s="280"/>
      <c r="O100" s="120"/>
      <c r="P100" s="68"/>
      <c r="Q100" s="68"/>
      <c r="AA100" s="68"/>
      <c r="AB100" s="68"/>
    </row>
    <row r="101" spans="5:28" x14ac:dyDescent="0.25">
      <c r="E101" s="154"/>
      <c r="F101" s="154"/>
      <c r="H101" s="280"/>
      <c r="O101" s="120"/>
      <c r="P101" s="68"/>
      <c r="Q101" s="68"/>
      <c r="AA101" s="68"/>
      <c r="AB101" s="68"/>
    </row>
    <row r="102" spans="5:28" x14ac:dyDescent="0.25">
      <c r="E102" s="154"/>
      <c r="F102" s="154"/>
      <c r="H102" s="280"/>
      <c r="O102" s="120"/>
      <c r="P102" s="68"/>
      <c r="Q102" s="68"/>
      <c r="AA102" s="68"/>
      <c r="AB102" s="68"/>
    </row>
    <row r="103" spans="5:28" x14ac:dyDescent="0.25">
      <c r="O103" s="152"/>
      <c r="P103" s="68"/>
      <c r="Q103" s="68"/>
      <c r="AA103" s="68"/>
      <c r="AB103" s="68"/>
    </row>
    <row r="104" spans="5:28" x14ac:dyDescent="0.25">
      <c r="O104" s="152"/>
      <c r="P104" s="68"/>
      <c r="Q104" s="68"/>
      <c r="AA104" s="68"/>
      <c r="AB104" s="68"/>
    </row>
    <row r="105" spans="5:28" x14ac:dyDescent="0.25">
      <c r="E105" s="154"/>
      <c r="F105" s="154"/>
      <c r="H105" s="280"/>
      <c r="O105" s="152"/>
      <c r="P105" s="68"/>
      <c r="Q105" s="68"/>
      <c r="AA105" s="68"/>
      <c r="AB105" s="68"/>
    </row>
    <row r="106" spans="5:28" x14ac:dyDescent="0.25">
      <c r="I106" s="108"/>
      <c r="J106" s="108"/>
      <c r="K106" s="108"/>
      <c r="L106" s="108"/>
      <c r="M106" s="108"/>
      <c r="N106" s="108"/>
      <c r="O106" s="122"/>
      <c r="P106" s="68"/>
      <c r="Q106" s="68"/>
      <c r="R106" s="108"/>
      <c r="AA106" s="68"/>
      <c r="AB106" s="68"/>
    </row>
    <row r="107" spans="5:28" x14ac:dyDescent="0.25">
      <c r="E107" s="108"/>
      <c r="F107" s="108"/>
      <c r="H107" s="101"/>
      <c r="I107" s="154"/>
      <c r="J107" s="154"/>
      <c r="K107" s="154"/>
      <c r="L107" s="154"/>
      <c r="M107" s="154"/>
      <c r="N107" s="154"/>
      <c r="O107" s="122"/>
      <c r="P107" s="68"/>
      <c r="Q107" s="68"/>
      <c r="R107" s="154"/>
      <c r="AA107" s="68"/>
      <c r="AB107" s="68"/>
    </row>
    <row r="108" spans="5:28" x14ac:dyDescent="0.25">
      <c r="O108" s="120"/>
      <c r="P108" s="68"/>
      <c r="Q108" s="68"/>
      <c r="AA108" s="68"/>
      <c r="AB108" s="68"/>
    </row>
    <row r="109" spans="5:28" x14ac:dyDescent="0.25">
      <c r="E109" s="108"/>
      <c r="F109" s="108"/>
      <c r="H109" s="101"/>
      <c r="O109" s="152"/>
      <c r="P109" s="68"/>
      <c r="Q109" s="68"/>
      <c r="AA109" s="68"/>
      <c r="AB109" s="68"/>
    </row>
    <row r="110" spans="5:28" x14ac:dyDescent="0.25">
      <c r="O110" s="152"/>
      <c r="P110" s="68"/>
      <c r="Q110" s="68"/>
      <c r="AA110" s="68"/>
      <c r="AB110" s="68"/>
    </row>
    <row r="111" spans="5:28" x14ac:dyDescent="0.25">
      <c r="E111" s="154"/>
      <c r="F111" s="154"/>
      <c r="H111" s="280"/>
      <c r="O111" s="120"/>
      <c r="P111" s="68"/>
      <c r="Q111" s="68"/>
      <c r="AA111" s="68"/>
      <c r="AB111" s="68"/>
    </row>
    <row r="112" spans="5:28" x14ac:dyDescent="0.25">
      <c r="H112" s="280"/>
      <c r="I112" s="154"/>
      <c r="J112" s="154"/>
      <c r="K112" s="154"/>
      <c r="L112" s="154"/>
      <c r="M112" s="154"/>
      <c r="N112" s="154"/>
      <c r="O112" s="122"/>
      <c r="P112" s="68"/>
      <c r="Q112" s="68"/>
      <c r="R112" s="154"/>
      <c r="AA112" s="68"/>
      <c r="AB112" s="68"/>
    </row>
    <row r="113" spans="5:28" x14ac:dyDescent="0.25">
      <c r="H113" s="280"/>
      <c r="I113" s="154"/>
      <c r="J113" s="154"/>
      <c r="K113" s="154"/>
      <c r="L113" s="154"/>
      <c r="M113" s="154"/>
      <c r="N113" s="154"/>
      <c r="O113" s="122"/>
      <c r="P113" s="68"/>
      <c r="Q113" s="68"/>
      <c r="R113" s="154"/>
      <c r="AA113" s="68"/>
      <c r="AB113" s="68"/>
    </row>
    <row r="114" spans="5:28" x14ac:dyDescent="0.25">
      <c r="O114" s="152"/>
      <c r="P114" s="68"/>
      <c r="Q114" s="68"/>
      <c r="AA114" s="68"/>
      <c r="AB114" s="68"/>
    </row>
    <row r="115" spans="5:28" x14ac:dyDescent="0.25">
      <c r="H115" s="280"/>
      <c r="O115" s="120"/>
      <c r="P115" s="68"/>
      <c r="Q115" s="68"/>
      <c r="AA115" s="68"/>
      <c r="AB115" s="68"/>
    </row>
    <row r="116" spans="5:28" x14ac:dyDescent="0.25">
      <c r="H116" s="280"/>
      <c r="O116" s="120"/>
      <c r="P116" s="68"/>
      <c r="Q116" s="68"/>
      <c r="AA116" s="68"/>
      <c r="AB116" s="68"/>
    </row>
    <row r="117" spans="5:28" x14ac:dyDescent="0.25">
      <c r="O117" s="152"/>
      <c r="P117" s="68"/>
      <c r="Q117" s="68"/>
      <c r="AA117" s="68"/>
      <c r="AB117" s="68"/>
    </row>
    <row r="118" spans="5:28" x14ac:dyDescent="0.25">
      <c r="E118" s="108"/>
      <c r="F118" s="108"/>
      <c r="H118" s="101"/>
      <c r="O118" s="120"/>
      <c r="P118" s="68"/>
      <c r="Q118" s="68"/>
      <c r="AA118" s="68"/>
      <c r="AB118" s="68"/>
    </row>
    <row r="119" spans="5:28" x14ac:dyDescent="0.25">
      <c r="E119" s="108"/>
      <c r="F119" s="108"/>
      <c r="H119" s="101"/>
      <c r="I119" s="154"/>
      <c r="J119" s="154"/>
      <c r="K119" s="154"/>
      <c r="L119" s="154"/>
      <c r="M119" s="154"/>
      <c r="N119" s="154"/>
      <c r="O119" s="122"/>
      <c r="P119" s="68"/>
      <c r="Q119" s="68"/>
      <c r="R119" s="154"/>
      <c r="AA119" s="68"/>
      <c r="AB119" s="68"/>
    </row>
    <row r="120" spans="5:28" x14ac:dyDescent="0.25">
      <c r="H120" s="280"/>
      <c r="I120" s="108"/>
      <c r="J120" s="108"/>
      <c r="K120" s="108"/>
      <c r="L120" s="108"/>
      <c r="M120" s="108"/>
      <c r="N120" s="108"/>
      <c r="O120" s="122"/>
      <c r="P120" s="68"/>
      <c r="Q120" s="68"/>
      <c r="R120" s="108"/>
      <c r="AA120" s="68"/>
      <c r="AB120" s="68"/>
    </row>
    <row r="121" spans="5:28" x14ac:dyDescent="0.25">
      <c r="H121" s="280"/>
      <c r="O121" s="152"/>
      <c r="P121" s="68"/>
      <c r="Q121" s="68"/>
      <c r="AA121" s="68"/>
      <c r="AB121" s="68"/>
    </row>
    <row r="122" spans="5:28" x14ac:dyDescent="0.25">
      <c r="H122" s="280"/>
      <c r="O122" s="152"/>
      <c r="P122" s="68"/>
      <c r="Q122" s="68"/>
      <c r="AA122" s="68"/>
      <c r="AB122" s="68"/>
    </row>
    <row r="123" spans="5:28" x14ac:dyDescent="0.25">
      <c r="H123" s="280"/>
      <c r="I123" s="154"/>
      <c r="J123" s="154"/>
      <c r="K123" s="154"/>
      <c r="L123" s="154"/>
      <c r="M123" s="154"/>
      <c r="N123" s="154"/>
      <c r="O123" s="122"/>
      <c r="P123" s="68"/>
      <c r="Q123" s="68"/>
      <c r="R123" s="154"/>
      <c r="AA123" s="68"/>
      <c r="AB123" s="68"/>
    </row>
    <row r="124" spans="5:28" x14ac:dyDescent="0.25">
      <c r="H124" s="280"/>
      <c r="O124" s="152"/>
      <c r="P124" s="68"/>
      <c r="Q124" s="68"/>
      <c r="AA124" s="68"/>
      <c r="AB124" s="68"/>
    </row>
    <row r="125" spans="5:28" x14ac:dyDescent="0.25">
      <c r="H125" s="280"/>
      <c r="O125" s="120"/>
      <c r="P125" s="68"/>
      <c r="Q125" s="68"/>
      <c r="AA125" s="68"/>
      <c r="AB125" s="68"/>
    </row>
    <row r="126" spans="5:28" x14ac:dyDescent="0.25">
      <c r="O126" s="120"/>
      <c r="P126" s="68"/>
      <c r="Q126" s="68"/>
      <c r="AA126" s="68"/>
      <c r="AB126" s="68"/>
    </row>
    <row r="127" spans="5:28" x14ac:dyDescent="0.25">
      <c r="O127" s="152"/>
      <c r="P127" s="68"/>
      <c r="Q127" s="68"/>
      <c r="AA127" s="68"/>
      <c r="AB127" s="68"/>
    </row>
    <row r="128" spans="5:28" x14ac:dyDescent="0.25">
      <c r="O128" s="120"/>
      <c r="P128" s="68"/>
      <c r="Q128" s="68"/>
      <c r="AA128" s="68"/>
      <c r="AB128" s="68"/>
    </row>
    <row r="129" spans="5:28" x14ac:dyDescent="0.25">
      <c r="H129" s="280"/>
      <c r="O129" s="152"/>
      <c r="P129" s="68"/>
      <c r="Q129" s="68"/>
      <c r="AA129" s="68"/>
      <c r="AB129" s="68"/>
    </row>
    <row r="130" spans="5:28" x14ac:dyDescent="0.25">
      <c r="H130" s="280"/>
      <c r="O130" s="120"/>
      <c r="P130" s="68"/>
      <c r="Q130" s="68"/>
      <c r="AA130" s="68"/>
      <c r="AB130" s="68"/>
    </row>
    <row r="131" spans="5:28" x14ac:dyDescent="0.25">
      <c r="O131" s="152"/>
      <c r="P131" s="68"/>
      <c r="Q131" s="68"/>
      <c r="AA131" s="68"/>
      <c r="AB131" s="68"/>
    </row>
    <row r="132" spans="5:28" x14ac:dyDescent="0.25">
      <c r="H132" s="280"/>
      <c r="O132" s="152"/>
      <c r="P132" s="68"/>
      <c r="Q132" s="68"/>
      <c r="AA132" s="68"/>
      <c r="AB132" s="68"/>
    </row>
    <row r="133" spans="5:28" x14ac:dyDescent="0.25">
      <c r="I133" s="108"/>
      <c r="J133" s="108"/>
      <c r="K133" s="108"/>
      <c r="L133" s="108"/>
      <c r="M133" s="108"/>
      <c r="N133" s="108"/>
      <c r="O133" s="122"/>
      <c r="P133" s="68"/>
      <c r="Q133" s="68"/>
      <c r="R133" s="108"/>
      <c r="AA133" s="68"/>
      <c r="AB133" s="68"/>
    </row>
    <row r="134" spans="5:28" x14ac:dyDescent="0.25">
      <c r="O134" s="152"/>
      <c r="P134" s="68"/>
      <c r="Q134" s="68"/>
      <c r="AA134" s="68"/>
      <c r="AB134" s="68"/>
    </row>
    <row r="135" spans="5:28" x14ac:dyDescent="0.25">
      <c r="O135" s="120"/>
      <c r="P135" s="68"/>
      <c r="Q135" s="68"/>
      <c r="AA135" s="68"/>
      <c r="AB135" s="68"/>
    </row>
    <row r="136" spans="5:28" x14ac:dyDescent="0.25">
      <c r="H136" s="280"/>
      <c r="O136" s="152"/>
      <c r="P136" s="68"/>
      <c r="Q136" s="68"/>
      <c r="AA136" s="68"/>
      <c r="AB136" s="68"/>
    </row>
    <row r="137" spans="5:28" x14ac:dyDescent="0.25">
      <c r="H137" s="280"/>
      <c r="O137" s="152"/>
      <c r="P137" s="68"/>
      <c r="Q137" s="68"/>
      <c r="AA137" s="68"/>
      <c r="AB137" s="68"/>
    </row>
    <row r="138" spans="5:28" x14ac:dyDescent="0.25">
      <c r="E138" s="154"/>
      <c r="F138" s="154"/>
      <c r="H138" s="280"/>
      <c r="O138" s="120"/>
      <c r="P138" s="68"/>
      <c r="Q138" s="68"/>
      <c r="AA138" s="68"/>
      <c r="AB138" s="68"/>
    </row>
    <row r="139" spans="5:28" x14ac:dyDescent="0.25">
      <c r="O139" s="152"/>
      <c r="P139" s="68"/>
      <c r="Q139" s="68"/>
      <c r="AA139" s="68"/>
      <c r="AB139" s="68"/>
    </row>
    <row r="140" spans="5:28" x14ac:dyDescent="0.25">
      <c r="E140" s="108"/>
      <c r="F140" s="108"/>
      <c r="O140" s="152"/>
      <c r="P140" s="68"/>
      <c r="Q140" s="68"/>
      <c r="AA140" s="68"/>
      <c r="AB140" s="68"/>
    </row>
    <row r="141" spans="5:28" x14ac:dyDescent="0.25">
      <c r="E141" s="108"/>
      <c r="F141" s="108"/>
      <c r="O141" s="152"/>
      <c r="P141" s="68"/>
      <c r="Q141" s="68"/>
      <c r="AA141" s="68"/>
      <c r="AB141" s="68"/>
    </row>
    <row r="142" spans="5:28" x14ac:dyDescent="0.25">
      <c r="H142" s="280"/>
      <c r="O142" s="120"/>
      <c r="P142" s="68"/>
      <c r="Q142" s="68"/>
      <c r="AA142" s="68"/>
      <c r="AB142" s="68"/>
    </row>
    <row r="143" spans="5:28" x14ac:dyDescent="0.25">
      <c r="E143" s="154"/>
      <c r="F143" s="154"/>
      <c r="H143" s="280"/>
      <c r="O143" s="120"/>
      <c r="P143" s="68"/>
      <c r="Q143" s="68"/>
      <c r="AA143" s="68"/>
      <c r="AB143" s="68"/>
    </row>
    <row r="144" spans="5:28" x14ac:dyDescent="0.25">
      <c r="H144" s="280"/>
      <c r="O144" s="120"/>
      <c r="P144" s="68"/>
      <c r="Q144" s="68"/>
      <c r="AA144" s="68"/>
      <c r="AB144" s="68"/>
    </row>
    <row r="145" spans="5:28" x14ac:dyDescent="0.25">
      <c r="H145" s="280"/>
      <c r="O145" s="152"/>
      <c r="P145" s="68"/>
      <c r="Q145" s="68"/>
      <c r="AA145" s="68"/>
      <c r="AB145" s="68"/>
    </row>
    <row r="146" spans="5:28" x14ac:dyDescent="0.25">
      <c r="H146" s="280"/>
      <c r="O146" s="152"/>
      <c r="P146" s="68"/>
      <c r="Q146" s="68"/>
      <c r="AA146" s="68"/>
      <c r="AB146" s="68"/>
    </row>
    <row r="147" spans="5:28" x14ac:dyDescent="0.25">
      <c r="E147" s="154"/>
      <c r="F147" s="154"/>
      <c r="H147" s="280"/>
      <c r="O147" s="120"/>
      <c r="P147" s="68"/>
      <c r="Q147" s="68"/>
      <c r="AA147" s="68"/>
      <c r="AB147" s="68"/>
    </row>
    <row r="148" spans="5:28" x14ac:dyDescent="0.25">
      <c r="H148" s="280"/>
      <c r="O148" s="152"/>
      <c r="P148" s="68"/>
      <c r="Q148" s="68"/>
      <c r="AA148" s="68"/>
      <c r="AB148" s="68"/>
    </row>
    <row r="149" spans="5:28" x14ac:dyDescent="0.25">
      <c r="O149" s="152"/>
      <c r="P149" s="68"/>
      <c r="Q149" s="68"/>
      <c r="AA149" s="68"/>
      <c r="AB149" s="68"/>
    </row>
    <row r="150" spans="5:28" x14ac:dyDescent="0.25">
      <c r="H150" s="280"/>
      <c r="O150" s="152"/>
      <c r="P150" s="68"/>
      <c r="Q150" s="68"/>
      <c r="AA150" s="68"/>
      <c r="AB150" s="68"/>
    </row>
    <row r="151" spans="5:28" x14ac:dyDescent="0.25">
      <c r="O151" s="120"/>
      <c r="P151" s="68"/>
      <c r="Q151" s="68"/>
      <c r="AA151" s="68"/>
      <c r="AB151" s="68"/>
    </row>
    <row r="152" spans="5:28" x14ac:dyDescent="0.25">
      <c r="H152" s="280"/>
      <c r="O152" s="120"/>
      <c r="P152" s="68"/>
      <c r="Q152" s="68"/>
      <c r="AA152" s="68"/>
      <c r="AB152" s="68"/>
    </row>
    <row r="153" spans="5:28" x14ac:dyDescent="0.25">
      <c r="H153" s="280"/>
      <c r="O153" s="152"/>
      <c r="P153" s="68"/>
      <c r="Q153" s="68"/>
      <c r="AA153" s="68"/>
      <c r="AB153" s="68"/>
    </row>
    <row r="154" spans="5:28" x14ac:dyDescent="0.25">
      <c r="E154" s="108"/>
      <c r="F154" s="108"/>
      <c r="H154" s="101"/>
      <c r="O154" s="120"/>
      <c r="P154" s="68"/>
      <c r="Q154" s="68"/>
      <c r="AA154" s="68"/>
      <c r="AB154" s="68"/>
    </row>
    <row r="155" spans="5:28" x14ac:dyDescent="0.25">
      <c r="H155" s="280"/>
      <c r="O155" s="152"/>
      <c r="P155" s="68"/>
      <c r="Q155" s="68"/>
      <c r="AA155" s="68"/>
      <c r="AB155" s="68"/>
    </row>
    <row r="156" spans="5:28" x14ac:dyDescent="0.25">
      <c r="O156" s="120"/>
      <c r="P156" s="68"/>
      <c r="Q156" s="68"/>
      <c r="AA156" s="68"/>
      <c r="AB156" s="68"/>
    </row>
    <row r="157" spans="5:28" x14ac:dyDescent="0.25">
      <c r="E157" s="108"/>
      <c r="F157" s="108"/>
      <c r="H157" s="101"/>
      <c r="I157" s="154"/>
      <c r="J157" s="154"/>
      <c r="K157" s="154"/>
      <c r="L157" s="154"/>
      <c r="M157" s="154"/>
      <c r="N157" s="154"/>
      <c r="O157" s="122"/>
      <c r="P157" s="68"/>
      <c r="Q157" s="68"/>
      <c r="R157" s="154"/>
      <c r="AA157" s="68"/>
      <c r="AB157" s="68"/>
    </row>
    <row r="158" spans="5:28" x14ac:dyDescent="0.25">
      <c r="O158" s="120"/>
      <c r="P158" s="68"/>
      <c r="Q158" s="68"/>
      <c r="AA158" s="68"/>
      <c r="AB158" s="68"/>
    </row>
    <row r="159" spans="5:28" x14ac:dyDescent="0.25">
      <c r="E159" s="154"/>
      <c r="F159" s="154"/>
      <c r="H159" s="280"/>
      <c r="O159" s="120"/>
      <c r="P159" s="68"/>
      <c r="Q159" s="68"/>
      <c r="AA159" s="68"/>
      <c r="AB159" s="68"/>
    </row>
    <row r="160" spans="5:28" x14ac:dyDescent="0.25">
      <c r="E160" s="154"/>
      <c r="F160" s="154"/>
      <c r="O160" s="152"/>
      <c r="P160" s="68"/>
      <c r="Q160" s="68"/>
      <c r="AA160" s="68"/>
      <c r="AB160" s="68"/>
    </row>
    <row r="161" spans="5:28" x14ac:dyDescent="0.25">
      <c r="H161" s="280"/>
      <c r="I161" s="154"/>
      <c r="J161" s="154"/>
      <c r="K161" s="154"/>
      <c r="L161" s="154"/>
      <c r="M161" s="154"/>
      <c r="N161" s="154"/>
      <c r="O161" s="122"/>
      <c r="P161" s="68"/>
      <c r="Q161" s="68"/>
      <c r="R161" s="154"/>
      <c r="AA161" s="68"/>
      <c r="AB161" s="68"/>
    </row>
    <row r="162" spans="5:28" x14ac:dyDescent="0.25">
      <c r="H162" s="280"/>
      <c r="O162" s="120"/>
      <c r="P162" s="68"/>
      <c r="Q162" s="68"/>
      <c r="AA162" s="68"/>
      <c r="AB162" s="68"/>
    </row>
    <row r="163" spans="5:28" x14ac:dyDescent="0.25">
      <c r="H163" s="280"/>
      <c r="O163" s="152"/>
      <c r="P163" s="68"/>
      <c r="Q163" s="68"/>
      <c r="AA163" s="68"/>
      <c r="AB163" s="68"/>
    </row>
    <row r="164" spans="5:28" x14ac:dyDescent="0.25">
      <c r="H164" s="280"/>
      <c r="O164" s="120"/>
      <c r="P164" s="68"/>
      <c r="Q164" s="68"/>
      <c r="AA164" s="68"/>
      <c r="AB164" s="68"/>
    </row>
    <row r="165" spans="5:28" x14ac:dyDescent="0.25">
      <c r="H165" s="280"/>
      <c r="O165" s="120"/>
      <c r="P165" s="68"/>
      <c r="Q165" s="68"/>
      <c r="AA165" s="68"/>
      <c r="AB165" s="68"/>
    </row>
    <row r="166" spans="5:28" x14ac:dyDescent="0.25">
      <c r="O166" s="120"/>
      <c r="P166" s="68"/>
      <c r="Q166" s="68"/>
      <c r="AA166" s="68"/>
      <c r="AB166" s="68"/>
    </row>
    <row r="167" spans="5:28" x14ac:dyDescent="0.25">
      <c r="E167" s="108"/>
      <c r="F167" s="108"/>
      <c r="H167" s="101"/>
      <c r="O167" s="120"/>
      <c r="P167" s="68"/>
      <c r="Q167" s="68"/>
      <c r="AA167" s="68"/>
      <c r="AB167" s="68"/>
    </row>
    <row r="168" spans="5:28" x14ac:dyDescent="0.25">
      <c r="H168" s="280"/>
      <c r="O168" s="120"/>
      <c r="P168" s="68"/>
      <c r="Q168" s="68"/>
      <c r="AA168" s="68"/>
      <c r="AB168" s="68"/>
    </row>
    <row r="169" spans="5:28" x14ac:dyDescent="0.25">
      <c r="H169" s="280"/>
      <c r="I169" s="154"/>
      <c r="J169" s="154"/>
      <c r="K169" s="154"/>
      <c r="L169" s="154"/>
      <c r="M169" s="154"/>
      <c r="N169" s="154"/>
      <c r="O169" s="122"/>
      <c r="P169" s="68"/>
      <c r="Q169" s="68"/>
      <c r="R169" s="154"/>
      <c r="AA169" s="68"/>
      <c r="AB169" s="68"/>
    </row>
    <row r="170" spans="5:28" x14ac:dyDescent="0.25">
      <c r="E170" s="108"/>
      <c r="F170" s="108"/>
      <c r="H170" s="101"/>
      <c r="O170" s="152"/>
      <c r="P170" s="68"/>
      <c r="Q170" s="68"/>
      <c r="AA170" s="68"/>
      <c r="AB170" s="68"/>
    </row>
    <row r="171" spans="5:28" x14ac:dyDescent="0.25">
      <c r="O171" s="120"/>
      <c r="P171" s="68"/>
      <c r="Q171" s="68"/>
      <c r="AA171" s="68"/>
      <c r="AB171" s="68"/>
    </row>
    <row r="172" spans="5:28" x14ac:dyDescent="0.25">
      <c r="H172" s="280"/>
      <c r="O172" s="152"/>
      <c r="P172" s="68"/>
      <c r="Q172" s="68"/>
      <c r="AA172" s="68"/>
      <c r="AB172" s="68"/>
    </row>
    <row r="173" spans="5:28" x14ac:dyDescent="0.25">
      <c r="O173" s="152"/>
      <c r="P173" s="68"/>
      <c r="Q173" s="68"/>
      <c r="AA173" s="68"/>
      <c r="AB173" s="68"/>
    </row>
    <row r="174" spans="5:28" x14ac:dyDescent="0.25">
      <c r="O174" s="152"/>
      <c r="P174" s="68"/>
      <c r="Q174" s="68"/>
      <c r="AA174" s="68"/>
      <c r="AB174" s="68"/>
    </row>
    <row r="175" spans="5:28" x14ac:dyDescent="0.25">
      <c r="H175" s="280"/>
      <c r="O175" s="152"/>
      <c r="P175" s="68"/>
      <c r="Q175" s="68"/>
      <c r="AA175" s="68"/>
      <c r="AB175" s="68"/>
    </row>
    <row r="176" spans="5:28" x14ac:dyDescent="0.25">
      <c r="O176" s="152"/>
      <c r="P176" s="68"/>
      <c r="Q176" s="68"/>
      <c r="AA176" s="68"/>
      <c r="AB176" s="68"/>
    </row>
    <row r="177" spans="5:28" x14ac:dyDescent="0.25">
      <c r="E177" s="154"/>
      <c r="F177" s="154"/>
      <c r="H177" s="280"/>
      <c r="O177" s="120"/>
      <c r="P177" s="68"/>
      <c r="Q177" s="68"/>
      <c r="AA177" s="68"/>
      <c r="AB177" s="68"/>
    </row>
    <row r="178" spans="5:28" x14ac:dyDescent="0.25">
      <c r="O178" s="120"/>
      <c r="P178" s="68"/>
      <c r="Q178" s="68"/>
      <c r="AA178" s="68"/>
      <c r="AB178" s="68"/>
    </row>
    <row r="179" spans="5:28" x14ac:dyDescent="0.25">
      <c r="H179" s="280"/>
      <c r="O179" s="152"/>
      <c r="P179" s="68"/>
      <c r="Q179" s="68"/>
      <c r="AA179" s="68"/>
      <c r="AB179" s="68"/>
    </row>
    <row r="180" spans="5:28" x14ac:dyDescent="0.25">
      <c r="H180" s="280"/>
      <c r="I180" s="154"/>
      <c r="J180" s="154"/>
      <c r="K180" s="154"/>
      <c r="L180" s="154"/>
      <c r="M180" s="154"/>
      <c r="N180" s="154"/>
      <c r="O180" s="152"/>
      <c r="P180" s="68"/>
      <c r="Q180" s="68"/>
      <c r="R180" s="154"/>
      <c r="AA180" s="68"/>
      <c r="AB180" s="68"/>
    </row>
    <row r="181" spans="5:28" x14ac:dyDescent="0.25">
      <c r="H181" s="280"/>
      <c r="O181" s="120"/>
      <c r="P181" s="68"/>
      <c r="Q181" s="68"/>
      <c r="AA181" s="68"/>
      <c r="AB181" s="68"/>
    </row>
    <row r="182" spans="5:28" x14ac:dyDescent="0.25">
      <c r="H182" s="280"/>
      <c r="O182" s="152"/>
      <c r="P182" s="68"/>
      <c r="Q182" s="68"/>
      <c r="AA182" s="68"/>
      <c r="AB182" s="68"/>
    </row>
    <row r="183" spans="5:28" x14ac:dyDescent="0.25">
      <c r="O183" s="120"/>
      <c r="P183" s="68"/>
      <c r="Q183" s="68"/>
      <c r="AA183" s="68"/>
      <c r="AB183" s="68"/>
    </row>
    <row r="184" spans="5:28" x14ac:dyDescent="0.25">
      <c r="E184" s="108"/>
      <c r="F184" s="108"/>
      <c r="H184" s="101"/>
      <c r="O184" s="152"/>
      <c r="P184" s="68"/>
      <c r="Q184" s="68"/>
      <c r="AA184" s="68"/>
      <c r="AB184" s="68"/>
    </row>
    <row r="185" spans="5:28" x14ac:dyDescent="0.25">
      <c r="H185" s="280"/>
      <c r="O185" s="152"/>
      <c r="P185" s="68"/>
      <c r="Q185" s="68"/>
      <c r="AA185" s="68"/>
      <c r="AB185" s="68"/>
    </row>
    <row r="186" spans="5:28" x14ac:dyDescent="0.25">
      <c r="H186" s="280"/>
      <c r="O186" s="152"/>
      <c r="P186" s="68"/>
      <c r="Q186" s="68"/>
      <c r="AA186" s="68"/>
      <c r="AB186" s="68"/>
    </row>
    <row r="187" spans="5:28" x14ac:dyDescent="0.25">
      <c r="E187" s="154"/>
      <c r="F187" s="154"/>
      <c r="H187" s="280"/>
      <c r="O187" s="120"/>
      <c r="P187" s="68"/>
      <c r="Q187" s="68"/>
      <c r="AA187" s="68"/>
      <c r="AB187" s="68"/>
    </row>
    <row r="188" spans="5:28" x14ac:dyDescent="0.25">
      <c r="H188" s="280"/>
      <c r="O188" s="152"/>
      <c r="P188" s="68"/>
      <c r="Q188" s="68"/>
      <c r="AA188" s="68"/>
      <c r="AB188" s="68"/>
    </row>
    <row r="189" spans="5:28" x14ac:dyDescent="0.25">
      <c r="H189" s="280"/>
      <c r="O189" s="152"/>
      <c r="P189" s="68"/>
      <c r="Q189" s="68"/>
      <c r="AA189" s="68"/>
      <c r="AB189" s="68"/>
    </row>
    <row r="190" spans="5:28" x14ac:dyDescent="0.25">
      <c r="E190" s="154"/>
      <c r="F190" s="154"/>
      <c r="H190" s="280"/>
      <c r="I190" s="108"/>
      <c r="J190" s="108"/>
      <c r="K190" s="108"/>
      <c r="L190" s="108"/>
      <c r="M190" s="108"/>
      <c r="N190" s="108"/>
      <c r="O190" s="122"/>
      <c r="P190" s="68"/>
      <c r="Q190" s="68"/>
      <c r="R190" s="108"/>
      <c r="AA190" s="68"/>
      <c r="AB190" s="68"/>
    </row>
    <row r="191" spans="5:28" x14ac:dyDescent="0.25">
      <c r="H191" s="280"/>
      <c r="O191" s="152"/>
      <c r="P191" s="68"/>
      <c r="Q191" s="68"/>
      <c r="AA191" s="68"/>
      <c r="AB191" s="68"/>
    </row>
    <row r="192" spans="5:28" x14ac:dyDescent="0.25">
      <c r="H192" s="280"/>
      <c r="O192" s="152"/>
      <c r="P192" s="68"/>
      <c r="Q192" s="68"/>
      <c r="AA192" s="68"/>
      <c r="AB192" s="68"/>
    </row>
    <row r="193" spans="5:28" x14ac:dyDescent="0.25">
      <c r="H193" s="280"/>
      <c r="I193" s="108"/>
      <c r="J193" s="108"/>
      <c r="K193" s="108"/>
      <c r="L193" s="108"/>
      <c r="M193" s="108"/>
      <c r="N193" s="108"/>
      <c r="O193" s="122"/>
      <c r="P193" s="68"/>
      <c r="Q193" s="68"/>
      <c r="R193" s="108"/>
      <c r="AA193" s="68"/>
      <c r="AB193" s="68"/>
    </row>
    <row r="194" spans="5:28" x14ac:dyDescent="0.25">
      <c r="O194" s="120"/>
      <c r="P194" s="68"/>
      <c r="Q194" s="68"/>
      <c r="AA194" s="68"/>
      <c r="AB194" s="68"/>
    </row>
    <row r="195" spans="5:28" x14ac:dyDescent="0.25">
      <c r="H195" s="280"/>
      <c r="O195" s="152"/>
      <c r="P195" s="68"/>
      <c r="Q195" s="68"/>
      <c r="AA195" s="68"/>
      <c r="AB195" s="68"/>
    </row>
    <row r="196" spans="5:28" x14ac:dyDescent="0.25">
      <c r="O196" s="152"/>
      <c r="P196" s="68"/>
      <c r="Q196" s="68"/>
      <c r="AA196" s="68"/>
      <c r="AB196" s="68"/>
    </row>
    <row r="197" spans="5:28" x14ac:dyDescent="0.25">
      <c r="H197" s="280"/>
      <c r="O197" s="120"/>
      <c r="P197" s="68"/>
      <c r="Q197" s="68"/>
      <c r="AA197" s="68"/>
      <c r="AB197" s="68"/>
    </row>
    <row r="198" spans="5:28" x14ac:dyDescent="0.25">
      <c r="E198" s="154"/>
      <c r="F198" s="154"/>
      <c r="H198" s="280"/>
      <c r="O198" s="120"/>
      <c r="P198" s="68"/>
      <c r="Q198" s="68"/>
      <c r="AA198" s="68"/>
      <c r="AB198" s="68"/>
    </row>
    <row r="199" spans="5:28" x14ac:dyDescent="0.25">
      <c r="I199" s="154"/>
      <c r="J199" s="154"/>
      <c r="K199" s="154"/>
      <c r="L199" s="154"/>
      <c r="M199" s="154"/>
      <c r="N199" s="154"/>
      <c r="O199" s="122"/>
      <c r="P199" s="68"/>
      <c r="Q199" s="68"/>
      <c r="R199" s="154"/>
      <c r="AA199" s="68"/>
      <c r="AB199" s="68"/>
    </row>
    <row r="200" spans="5:28" x14ac:dyDescent="0.25">
      <c r="E200" s="108"/>
      <c r="F200" s="108"/>
      <c r="H200" s="101"/>
      <c r="O200" s="152"/>
      <c r="P200" s="68"/>
      <c r="Q200" s="68"/>
      <c r="AA200" s="68"/>
      <c r="AB200" s="68"/>
    </row>
    <row r="201" spans="5:28" x14ac:dyDescent="0.25">
      <c r="E201" s="154"/>
      <c r="F201" s="154"/>
      <c r="H201" s="280"/>
      <c r="O201" s="152"/>
      <c r="P201" s="68"/>
      <c r="Q201" s="68"/>
      <c r="AA201" s="68"/>
      <c r="AB201" s="68"/>
    </row>
    <row r="202" spans="5:28" x14ac:dyDescent="0.25">
      <c r="H202" s="280"/>
      <c r="O202" s="152"/>
      <c r="P202" s="68"/>
      <c r="Q202" s="68"/>
      <c r="AA202" s="68"/>
      <c r="AB202" s="68"/>
    </row>
    <row r="203" spans="5:28" x14ac:dyDescent="0.25">
      <c r="O203" s="152"/>
      <c r="P203" s="68"/>
      <c r="Q203" s="68"/>
      <c r="AA203" s="68"/>
      <c r="AB203" s="68"/>
    </row>
    <row r="204" spans="5:28" x14ac:dyDescent="0.25">
      <c r="O204" s="120"/>
      <c r="P204" s="68"/>
      <c r="Q204" s="68"/>
      <c r="AA204" s="68"/>
      <c r="AB204" s="68"/>
    </row>
    <row r="205" spans="5:28" x14ac:dyDescent="0.25">
      <c r="O205" s="152"/>
      <c r="P205" s="68"/>
      <c r="Q205" s="68"/>
      <c r="AA205" s="68"/>
      <c r="AB205" s="68"/>
    </row>
    <row r="206" spans="5:28" x14ac:dyDescent="0.25">
      <c r="H206" s="280"/>
      <c r="O206" s="120"/>
      <c r="P206" s="68"/>
      <c r="Q206" s="68"/>
      <c r="AA206" s="68"/>
      <c r="AB206" s="68"/>
    </row>
    <row r="207" spans="5:28" x14ac:dyDescent="0.25">
      <c r="E207" s="154"/>
      <c r="F207" s="154"/>
      <c r="H207" s="280"/>
      <c r="I207" s="154"/>
      <c r="J207" s="154"/>
      <c r="K207" s="154"/>
      <c r="L207" s="154"/>
      <c r="M207" s="154"/>
      <c r="N207" s="154"/>
      <c r="O207" s="152"/>
      <c r="P207" s="68"/>
      <c r="Q207" s="68"/>
      <c r="R207" s="154"/>
      <c r="AA207" s="68"/>
      <c r="AB207" s="68"/>
    </row>
    <row r="208" spans="5:28" x14ac:dyDescent="0.25">
      <c r="H208" s="280"/>
      <c r="O208" s="152"/>
      <c r="P208" s="68"/>
      <c r="Q208" s="68"/>
      <c r="AA208" s="68"/>
      <c r="AB208" s="68"/>
    </row>
    <row r="209" spans="5:28" x14ac:dyDescent="0.25">
      <c r="O209" s="120"/>
      <c r="P209" s="68"/>
      <c r="Q209" s="68"/>
      <c r="AA209" s="68"/>
      <c r="AB209" s="68"/>
    </row>
    <row r="210" spans="5:28" x14ac:dyDescent="0.25">
      <c r="H210" s="280"/>
      <c r="O210" s="120"/>
      <c r="P210" s="68"/>
      <c r="Q210" s="68"/>
      <c r="AA210" s="68"/>
      <c r="AB210" s="68"/>
    </row>
    <row r="211" spans="5:28" x14ac:dyDescent="0.25">
      <c r="H211" s="280"/>
      <c r="I211" s="154"/>
      <c r="J211" s="154"/>
      <c r="K211" s="154"/>
      <c r="L211" s="154"/>
      <c r="M211" s="154"/>
      <c r="N211" s="154"/>
      <c r="O211" s="122"/>
      <c r="P211" s="68"/>
      <c r="Q211" s="68"/>
      <c r="R211" s="154"/>
      <c r="AA211" s="68"/>
      <c r="AB211" s="68"/>
    </row>
    <row r="212" spans="5:28" x14ac:dyDescent="0.25">
      <c r="H212" s="280"/>
      <c r="O212" s="152"/>
      <c r="P212" s="68"/>
      <c r="Q212" s="68"/>
      <c r="AA212" s="68"/>
      <c r="AB212" s="68"/>
    </row>
    <row r="213" spans="5:28" x14ac:dyDescent="0.25">
      <c r="O213" s="152"/>
      <c r="P213" s="68"/>
      <c r="Q213" s="68"/>
      <c r="AA213" s="68"/>
      <c r="AB213" s="68"/>
    </row>
    <row r="214" spans="5:28" x14ac:dyDescent="0.25">
      <c r="E214" s="108"/>
      <c r="F214" s="108"/>
      <c r="H214" s="101"/>
      <c r="O214" s="152"/>
      <c r="P214" s="68"/>
      <c r="Q214" s="68"/>
      <c r="AA214" s="68"/>
      <c r="AB214" s="68"/>
    </row>
    <row r="215" spans="5:28" x14ac:dyDescent="0.25">
      <c r="E215" s="154"/>
      <c r="F215" s="154"/>
      <c r="H215" s="280"/>
      <c r="O215" s="152"/>
      <c r="P215" s="68"/>
      <c r="Q215" s="68"/>
      <c r="AA215" s="68"/>
      <c r="AB215" s="68"/>
    </row>
    <row r="216" spans="5:28" x14ac:dyDescent="0.25">
      <c r="H216" s="280"/>
      <c r="O216" s="152"/>
      <c r="P216" s="68"/>
      <c r="Q216" s="68"/>
      <c r="AA216" s="68"/>
      <c r="AB216" s="68"/>
    </row>
    <row r="217" spans="5:28" x14ac:dyDescent="0.25">
      <c r="O217" s="120"/>
      <c r="P217" s="68"/>
      <c r="Q217" s="68"/>
      <c r="AA217" s="68"/>
      <c r="AB217" s="68"/>
    </row>
    <row r="218" spans="5:28" x14ac:dyDescent="0.25">
      <c r="H218" s="280"/>
      <c r="I218" s="154"/>
      <c r="J218" s="154"/>
      <c r="K218" s="154"/>
      <c r="L218" s="154"/>
      <c r="M218" s="154"/>
      <c r="N218" s="154"/>
      <c r="O218" s="122"/>
      <c r="P218" s="68"/>
      <c r="Q218" s="68"/>
      <c r="R218" s="154"/>
      <c r="AA218" s="68"/>
      <c r="AB218" s="68"/>
    </row>
    <row r="219" spans="5:28" x14ac:dyDescent="0.25">
      <c r="H219" s="280"/>
      <c r="O219" s="152"/>
      <c r="P219" s="68"/>
      <c r="Q219" s="68"/>
      <c r="AA219" s="68"/>
      <c r="AB219" s="68"/>
    </row>
    <row r="220" spans="5:28" x14ac:dyDescent="0.25">
      <c r="H220" s="280"/>
      <c r="O220" s="152"/>
      <c r="P220" s="68"/>
      <c r="Q220" s="68"/>
      <c r="AA220" s="68"/>
      <c r="AB220" s="68"/>
    </row>
    <row r="221" spans="5:28" x14ac:dyDescent="0.25">
      <c r="H221" s="280"/>
      <c r="I221" s="154"/>
      <c r="J221" s="154"/>
      <c r="K221" s="154"/>
      <c r="L221" s="154"/>
      <c r="M221" s="154"/>
      <c r="N221" s="154"/>
      <c r="O221" s="122"/>
      <c r="P221" s="68"/>
      <c r="Q221" s="68"/>
      <c r="R221" s="154"/>
      <c r="AA221" s="68"/>
      <c r="AB221" s="68"/>
    </row>
    <row r="222" spans="5:28" x14ac:dyDescent="0.25">
      <c r="G222" s="120">
        <f>3</f>
        <v>3</v>
      </c>
      <c r="H222" s="280"/>
      <c r="O222" s="152"/>
      <c r="P222" s="68"/>
      <c r="Q222" s="68"/>
      <c r="AA222" s="68"/>
      <c r="AB222" s="68"/>
    </row>
    <row r="223" spans="5:28" x14ac:dyDescent="0.25">
      <c r="H223" s="280"/>
      <c r="I223" s="108"/>
      <c r="J223" s="108"/>
      <c r="K223" s="108"/>
      <c r="L223" s="108"/>
      <c r="M223" s="108"/>
      <c r="N223" s="108"/>
      <c r="O223" s="122"/>
      <c r="P223" s="68"/>
      <c r="Q223" s="68"/>
      <c r="R223" s="108"/>
      <c r="AA223" s="68"/>
      <c r="AB223" s="68"/>
    </row>
    <row r="224" spans="5:28" x14ac:dyDescent="0.25">
      <c r="H224" s="280"/>
      <c r="O224" s="120"/>
      <c r="P224" s="68"/>
      <c r="Q224" s="68"/>
      <c r="AA224" s="68"/>
      <c r="AB224" s="68"/>
    </row>
    <row r="225" spans="8:28" x14ac:dyDescent="0.25">
      <c r="H225" s="280"/>
      <c r="I225" s="154"/>
      <c r="J225" s="154"/>
      <c r="K225" s="154"/>
      <c r="L225" s="154"/>
      <c r="M225" s="154"/>
      <c r="N225" s="154"/>
      <c r="O225" s="122"/>
      <c r="P225" s="68"/>
      <c r="Q225" s="68"/>
      <c r="R225" s="154"/>
      <c r="AA225" s="68"/>
      <c r="AB225" s="68"/>
    </row>
    <row r="226" spans="8:28" x14ac:dyDescent="0.25">
      <c r="H226" s="280"/>
      <c r="O226" s="120"/>
      <c r="P226" s="68"/>
      <c r="Q226" s="68"/>
      <c r="AA226" s="68"/>
      <c r="AB226" s="68"/>
    </row>
    <row r="227" spans="8:28" x14ac:dyDescent="0.25">
      <c r="H227" s="280"/>
      <c r="O227" s="152"/>
      <c r="P227" s="68"/>
      <c r="Q227" s="68"/>
      <c r="AA227" s="68"/>
      <c r="AB227" s="68"/>
    </row>
    <row r="228" spans="8:28" x14ac:dyDescent="0.25">
      <c r="H228" s="280"/>
      <c r="O228" s="120"/>
      <c r="P228" s="68"/>
      <c r="Q228" s="68"/>
      <c r="AA228" s="68"/>
      <c r="AB228" s="68"/>
    </row>
    <row r="229" spans="8:28" x14ac:dyDescent="0.25">
      <c r="H229" s="280"/>
      <c r="I229" s="154"/>
      <c r="J229" s="154"/>
      <c r="K229" s="154"/>
      <c r="L229" s="154"/>
      <c r="M229" s="154"/>
      <c r="N229" s="154"/>
      <c r="O229" s="122"/>
      <c r="P229" s="68"/>
      <c r="Q229" s="68"/>
      <c r="R229" s="154"/>
      <c r="AA229" s="68"/>
      <c r="AB229" s="68"/>
    </row>
    <row r="230" spans="8:28" x14ac:dyDescent="0.25">
      <c r="H230" s="280"/>
      <c r="O230" s="152"/>
      <c r="P230" s="68"/>
      <c r="Q230" s="68"/>
      <c r="AA230" s="68"/>
      <c r="AB230" s="68"/>
    </row>
    <row r="231" spans="8:28" x14ac:dyDescent="0.25">
      <c r="O231" s="152"/>
      <c r="P231" s="68"/>
      <c r="Q231" s="68"/>
      <c r="AA231" s="68"/>
      <c r="AB231" s="68"/>
    </row>
    <row r="232" spans="8:28" x14ac:dyDescent="0.25">
      <c r="O232" s="120"/>
      <c r="P232" s="68"/>
      <c r="Q232" s="68"/>
      <c r="AA232" s="68"/>
      <c r="AB232" s="68"/>
    </row>
    <row r="233" spans="8:28" x14ac:dyDescent="0.25">
      <c r="O233" s="120"/>
      <c r="P233" s="68"/>
      <c r="Q233" s="68"/>
      <c r="AA233" s="68"/>
      <c r="AB233" s="68"/>
    </row>
    <row r="234" spans="8:28" x14ac:dyDescent="0.25">
      <c r="O234" s="120"/>
      <c r="P234" s="68"/>
      <c r="Q234" s="68"/>
      <c r="AA234" s="68"/>
      <c r="AB234" s="68"/>
    </row>
    <row r="235" spans="8:28" x14ac:dyDescent="0.25">
      <c r="O235" s="152"/>
      <c r="P235" s="68"/>
      <c r="Q235" s="68"/>
      <c r="AA235" s="68"/>
      <c r="AB235" s="68"/>
    </row>
    <row r="236" spans="8:28" x14ac:dyDescent="0.25">
      <c r="O236" s="120"/>
      <c r="P236" s="68"/>
      <c r="Q236" s="68"/>
      <c r="AA236" s="68"/>
      <c r="AB236" s="68"/>
    </row>
    <row r="237" spans="8:28" x14ac:dyDescent="0.25">
      <c r="I237" s="154"/>
      <c r="J237" s="154"/>
      <c r="K237" s="154"/>
      <c r="L237" s="154"/>
      <c r="M237" s="154"/>
      <c r="N237" s="154"/>
      <c r="O237" s="122"/>
      <c r="P237" s="68"/>
      <c r="Q237" s="68"/>
      <c r="R237" s="154"/>
      <c r="AA237" s="68"/>
      <c r="AB237" s="68"/>
    </row>
    <row r="238" spans="8:28" x14ac:dyDescent="0.25">
      <c r="I238" s="108"/>
      <c r="J238" s="108"/>
      <c r="K238" s="108"/>
      <c r="L238" s="108"/>
      <c r="M238" s="108"/>
      <c r="N238" s="108"/>
      <c r="O238" s="122"/>
      <c r="P238" s="68"/>
      <c r="Q238" s="68"/>
      <c r="R238" s="108"/>
      <c r="AA238" s="68"/>
      <c r="AB238" s="68"/>
    </row>
    <row r="239" spans="8:28" x14ac:dyDescent="0.25">
      <c r="O239" s="152"/>
      <c r="P239" s="68"/>
      <c r="Q239" s="68"/>
      <c r="AA239" s="68"/>
      <c r="AB239" s="68"/>
    </row>
    <row r="240" spans="8:28" x14ac:dyDescent="0.25">
      <c r="I240" s="154"/>
      <c r="J240" s="154"/>
      <c r="K240" s="154"/>
      <c r="L240" s="154"/>
      <c r="M240" s="154"/>
      <c r="N240" s="154"/>
      <c r="O240" s="122"/>
      <c r="P240" s="68"/>
      <c r="Q240" s="68"/>
      <c r="R240" s="154"/>
      <c r="AA240" s="68"/>
      <c r="AB240" s="68"/>
    </row>
    <row r="241" spans="5:28" x14ac:dyDescent="0.25">
      <c r="O241" s="120"/>
      <c r="P241" s="68"/>
      <c r="Q241" s="68"/>
      <c r="AA241" s="68"/>
      <c r="AB241" s="68"/>
    </row>
    <row r="242" spans="5:28" x14ac:dyDescent="0.25">
      <c r="O242" s="120"/>
      <c r="P242" s="68"/>
      <c r="Q242" s="68"/>
      <c r="AA242" s="68"/>
      <c r="AB242" s="68"/>
    </row>
    <row r="243" spans="5:28" x14ac:dyDescent="0.25">
      <c r="O243" s="152"/>
      <c r="P243" s="68"/>
      <c r="Q243" s="68"/>
      <c r="AA243" s="68"/>
      <c r="AB243" s="68"/>
    </row>
    <row r="244" spans="5:28" x14ac:dyDescent="0.25">
      <c r="O244" s="120"/>
      <c r="P244" s="68"/>
      <c r="Q244" s="68"/>
      <c r="AA244" s="68"/>
      <c r="AB244" s="68"/>
    </row>
    <row r="245" spans="5:28" x14ac:dyDescent="0.25">
      <c r="O245" s="152"/>
      <c r="P245" s="68"/>
      <c r="Q245" s="68"/>
      <c r="AA245" s="68"/>
      <c r="AB245" s="68"/>
    </row>
    <row r="246" spans="5:28" x14ac:dyDescent="0.25">
      <c r="P246" s="68"/>
      <c r="Q246" s="68"/>
      <c r="AA246" s="68"/>
      <c r="AB246" s="68"/>
    </row>
    <row r="247" spans="5:28" x14ac:dyDescent="0.25">
      <c r="E247" s="154"/>
      <c r="F247" s="154"/>
      <c r="O247" s="152"/>
      <c r="P247" s="68"/>
      <c r="Q247" s="68"/>
      <c r="AA247" s="68"/>
      <c r="AB247" s="68"/>
    </row>
    <row r="248" spans="5:28" x14ac:dyDescent="0.25">
      <c r="E248" s="154"/>
      <c r="F248" s="154"/>
      <c r="O248" s="152"/>
      <c r="P248" s="68"/>
      <c r="Q248" s="68"/>
      <c r="AA248" s="68"/>
      <c r="AB248" s="68"/>
    </row>
    <row r="249" spans="5:28" x14ac:dyDescent="0.25">
      <c r="E249" s="154"/>
      <c r="F249" s="154"/>
      <c r="O249" s="152"/>
      <c r="P249" s="68"/>
      <c r="Q249" s="68"/>
      <c r="AA249" s="68"/>
      <c r="AB249" s="68"/>
    </row>
    <row r="250" spans="5:28" x14ac:dyDescent="0.25">
      <c r="O250" s="152"/>
      <c r="P250" s="68"/>
      <c r="Q250" s="68"/>
      <c r="AA250" s="68"/>
      <c r="AB250" s="68"/>
    </row>
    <row r="251" spans="5:28" x14ac:dyDescent="0.25">
      <c r="O251" s="152"/>
      <c r="P251" s="68"/>
      <c r="Q251" s="68"/>
      <c r="AA251" s="68"/>
      <c r="AB251" s="68"/>
    </row>
    <row r="252" spans="5:28" x14ac:dyDescent="0.25">
      <c r="O252" s="152"/>
      <c r="P252" s="68"/>
      <c r="Q252" s="68"/>
      <c r="AA252" s="68"/>
      <c r="AB252" s="68"/>
    </row>
    <row r="253" spans="5:28" x14ac:dyDescent="0.25">
      <c r="O253" s="152"/>
      <c r="P253" s="68"/>
      <c r="Q253" s="68"/>
      <c r="AA253" s="68"/>
      <c r="AB253" s="68"/>
    </row>
    <row r="254" spans="5:28" x14ac:dyDescent="0.25">
      <c r="O254" s="152"/>
      <c r="P254" s="68"/>
      <c r="Q254" s="68"/>
      <c r="AA254" s="68"/>
      <c r="AB254" s="68"/>
    </row>
    <row r="255" spans="5:28" x14ac:dyDescent="0.25">
      <c r="E255" s="154"/>
      <c r="F255" s="154"/>
      <c r="O255" s="152"/>
      <c r="P255" s="68"/>
      <c r="Q255" s="68"/>
      <c r="AA255" s="68"/>
      <c r="AB255" s="68"/>
    </row>
    <row r="256" spans="5:28" x14ac:dyDescent="0.25">
      <c r="O256" s="152"/>
      <c r="P256" s="68"/>
      <c r="Q256" s="68"/>
      <c r="AA256" s="68"/>
      <c r="AB256" s="68"/>
    </row>
    <row r="257" spans="5:28" x14ac:dyDescent="0.25">
      <c r="O257" s="152"/>
      <c r="P257" s="68"/>
      <c r="Q257" s="68"/>
      <c r="AA257" s="68"/>
      <c r="AB257" s="68"/>
    </row>
    <row r="258" spans="5:28" x14ac:dyDescent="0.25">
      <c r="O258" s="152"/>
      <c r="P258" s="68"/>
      <c r="Q258" s="68"/>
      <c r="AA258" s="68"/>
      <c r="AB258" s="68"/>
    </row>
    <row r="259" spans="5:28" x14ac:dyDescent="0.25">
      <c r="O259" s="152"/>
      <c r="P259" s="68"/>
      <c r="Q259" s="68"/>
      <c r="AA259" s="68"/>
      <c r="AB259" s="68"/>
    </row>
    <row r="260" spans="5:28" x14ac:dyDescent="0.25">
      <c r="O260" s="152"/>
      <c r="P260" s="68"/>
      <c r="Q260" s="68"/>
      <c r="AA260" s="68"/>
      <c r="AB260" s="68"/>
    </row>
    <row r="261" spans="5:28" x14ac:dyDescent="0.25">
      <c r="O261" s="152"/>
      <c r="P261" s="68"/>
      <c r="Q261" s="68"/>
      <c r="AA261" s="68"/>
      <c r="AB261" s="68"/>
    </row>
    <row r="262" spans="5:28" x14ac:dyDescent="0.25">
      <c r="O262" s="152"/>
      <c r="P262" s="68"/>
      <c r="Q262" s="68"/>
      <c r="AA262" s="68"/>
      <c r="AB262" s="68"/>
    </row>
    <row r="263" spans="5:28" x14ac:dyDescent="0.25">
      <c r="O263" s="152"/>
      <c r="P263" s="68"/>
      <c r="Q263" s="68"/>
      <c r="AA263" s="68"/>
      <c r="AB263" s="68"/>
    </row>
    <row r="264" spans="5:28" x14ac:dyDescent="0.25">
      <c r="O264" s="152"/>
      <c r="P264" s="68"/>
      <c r="Q264" s="68"/>
      <c r="AA264" s="68"/>
      <c r="AB264" s="68"/>
    </row>
    <row r="265" spans="5:28" x14ac:dyDescent="0.25">
      <c r="E265" s="108"/>
      <c r="F265" s="108"/>
      <c r="H265" s="101"/>
      <c r="O265" s="120"/>
      <c r="P265" s="68"/>
      <c r="Q265" s="68"/>
      <c r="AA265" s="68"/>
      <c r="AB265" s="68"/>
    </row>
    <row r="266" spans="5:28" x14ac:dyDescent="0.25">
      <c r="E266" s="108"/>
      <c r="F266" s="108"/>
      <c r="H266" s="101"/>
      <c r="I266" s="154"/>
      <c r="J266" s="154"/>
      <c r="K266" s="154"/>
      <c r="L266" s="154"/>
      <c r="M266" s="154"/>
      <c r="N266" s="154"/>
      <c r="O266" s="152"/>
      <c r="P266" s="68"/>
      <c r="Q266" s="68"/>
      <c r="R266" s="154"/>
      <c r="AA266" s="68"/>
      <c r="AB266" s="68"/>
    </row>
    <row r="267" spans="5:28" x14ac:dyDescent="0.25">
      <c r="E267" s="108"/>
      <c r="F267" s="108"/>
      <c r="H267" s="101"/>
      <c r="I267" s="154"/>
      <c r="J267" s="154"/>
      <c r="K267" s="154"/>
      <c r="L267" s="154"/>
      <c r="M267" s="154"/>
      <c r="N267" s="154"/>
      <c r="O267" s="152"/>
      <c r="P267" s="68"/>
      <c r="Q267" s="68"/>
      <c r="R267" s="154"/>
      <c r="AA267" s="68"/>
      <c r="AB267" s="68"/>
    </row>
    <row r="268" spans="5:28" x14ac:dyDescent="0.25">
      <c r="I268" s="154"/>
      <c r="J268" s="154"/>
      <c r="K268" s="154"/>
      <c r="L268" s="154"/>
      <c r="M268" s="154"/>
      <c r="N268" s="154"/>
      <c r="O268" s="152"/>
      <c r="P268" s="68"/>
      <c r="Q268" s="68"/>
      <c r="R268" s="154"/>
      <c r="AA268" s="68"/>
      <c r="AB268" s="68"/>
    </row>
    <row r="269" spans="5:28" x14ac:dyDescent="0.25">
      <c r="I269" s="154"/>
      <c r="J269" s="154"/>
      <c r="K269" s="154"/>
      <c r="L269" s="154"/>
      <c r="M269" s="154"/>
      <c r="N269" s="154"/>
      <c r="O269" s="152"/>
      <c r="P269" s="68"/>
      <c r="Q269" s="68"/>
      <c r="R269" s="154"/>
      <c r="AA269" s="68"/>
      <c r="AB269" s="68"/>
    </row>
    <row r="270" spans="5:28" x14ac:dyDescent="0.25">
      <c r="E270" s="108"/>
      <c r="F270" s="108"/>
      <c r="H270" s="101"/>
      <c r="I270" s="154"/>
      <c r="J270" s="154"/>
      <c r="K270" s="154"/>
      <c r="L270" s="154"/>
      <c r="M270" s="154"/>
      <c r="N270" s="154"/>
      <c r="O270" s="152"/>
      <c r="P270" s="68"/>
      <c r="Q270" s="68"/>
      <c r="R270" s="154"/>
      <c r="AA270" s="68"/>
      <c r="AB270" s="68"/>
    </row>
    <row r="271" spans="5:28" x14ac:dyDescent="0.25">
      <c r="I271" s="154"/>
      <c r="J271" s="154"/>
      <c r="K271" s="154"/>
      <c r="L271" s="154"/>
      <c r="M271" s="154"/>
      <c r="N271" s="154"/>
      <c r="O271" s="152"/>
      <c r="P271" s="68"/>
      <c r="Q271" s="68"/>
      <c r="R271" s="154"/>
      <c r="AA271" s="68"/>
      <c r="AB271" s="68"/>
    </row>
    <row r="272" spans="5:28" x14ac:dyDescent="0.25">
      <c r="I272" s="154"/>
      <c r="J272" s="154"/>
      <c r="K272" s="154"/>
      <c r="L272" s="154"/>
      <c r="M272" s="154"/>
      <c r="N272" s="154"/>
      <c r="O272" s="152"/>
      <c r="P272" s="68"/>
      <c r="Q272" s="68"/>
      <c r="R272" s="154"/>
      <c r="AA272" s="68"/>
      <c r="AB272" s="68"/>
    </row>
    <row r="273" spans="5:28" x14ac:dyDescent="0.25">
      <c r="I273" s="154"/>
      <c r="J273" s="154"/>
      <c r="K273" s="154"/>
      <c r="L273" s="154"/>
      <c r="M273" s="154"/>
      <c r="N273" s="154"/>
      <c r="O273" s="152"/>
      <c r="P273" s="68"/>
      <c r="Q273" s="68"/>
      <c r="R273" s="154"/>
      <c r="AA273" s="68"/>
      <c r="AB273" s="68"/>
    </row>
    <row r="274" spans="5:28" x14ac:dyDescent="0.25">
      <c r="I274" s="154"/>
      <c r="J274" s="154"/>
      <c r="K274" s="154"/>
      <c r="L274" s="154"/>
      <c r="M274" s="154"/>
      <c r="N274" s="154"/>
      <c r="O274" s="152"/>
      <c r="P274" s="68"/>
      <c r="Q274" s="68"/>
      <c r="R274" s="154"/>
      <c r="AA274" s="68"/>
      <c r="AB274" s="68"/>
    </row>
    <row r="275" spans="5:28" x14ac:dyDescent="0.25">
      <c r="O275" s="152"/>
      <c r="P275" s="68"/>
      <c r="Q275" s="68"/>
      <c r="AA275" s="68"/>
      <c r="AB275" s="68"/>
    </row>
    <row r="276" spans="5:28" x14ac:dyDescent="0.25">
      <c r="O276" s="152"/>
      <c r="P276" s="68"/>
      <c r="Q276" s="68"/>
      <c r="AA276" s="68"/>
      <c r="AB276" s="68"/>
    </row>
    <row r="277" spans="5:28" x14ac:dyDescent="0.25">
      <c r="O277" s="152"/>
      <c r="P277" s="68"/>
      <c r="Q277" s="68"/>
      <c r="AA277" s="68"/>
      <c r="AB277" s="68"/>
    </row>
    <row r="278" spans="5:28" x14ac:dyDescent="0.25">
      <c r="I278" s="108"/>
      <c r="J278" s="108"/>
      <c r="K278" s="108"/>
      <c r="L278" s="108"/>
      <c r="M278" s="108"/>
      <c r="N278" s="108"/>
      <c r="O278" s="122"/>
      <c r="P278" s="68"/>
      <c r="Q278" s="68"/>
      <c r="R278" s="108"/>
      <c r="AA278" s="68"/>
      <c r="AB278" s="68"/>
    </row>
    <row r="279" spans="5:28" x14ac:dyDescent="0.25">
      <c r="O279" s="152"/>
      <c r="P279" s="68"/>
      <c r="Q279" s="68"/>
      <c r="AA279" s="68"/>
      <c r="AB279" s="68"/>
    </row>
    <row r="280" spans="5:28" x14ac:dyDescent="0.25">
      <c r="G280" s="120">
        <f>2+2</f>
        <v>4</v>
      </c>
      <c r="O280" s="152"/>
      <c r="P280" s="68"/>
      <c r="Q280" s="68"/>
      <c r="AA280" s="68"/>
      <c r="AB280" s="68"/>
    </row>
    <row r="281" spans="5:28" x14ac:dyDescent="0.25">
      <c r="I281" s="108"/>
      <c r="J281" s="108"/>
      <c r="K281" s="108"/>
      <c r="L281" s="108"/>
      <c r="M281" s="108"/>
      <c r="N281" s="108"/>
      <c r="O281" s="122"/>
      <c r="P281" s="68"/>
      <c r="Q281" s="68"/>
      <c r="R281" s="108"/>
      <c r="AA281" s="68"/>
      <c r="AB281" s="68"/>
    </row>
    <row r="282" spans="5:28" x14ac:dyDescent="0.25">
      <c r="E282" s="108"/>
      <c r="F282" s="108"/>
      <c r="O282" s="152"/>
      <c r="P282" s="68"/>
      <c r="Q282" s="68"/>
      <c r="AA282" s="68"/>
      <c r="AB282" s="68"/>
    </row>
    <row r="283" spans="5:28" x14ac:dyDescent="0.25">
      <c r="O283" s="152"/>
      <c r="P283" s="68"/>
      <c r="Q283" s="68"/>
      <c r="AA283" s="68"/>
      <c r="AB283" s="68"/>
    </row>
    <row r="284" spans="5:28" x14ac:dyDescent="0.25">
      <c r="E284" s="108"/>
      <c r="F284" s="108"/>
      <c r="P284" s="68"/>
      <c r="Q284" s="68"/>
      <c r="AA284" s="68"/>
      <c r="AB284" s="68"/>
    </row>
    <row r="285" spans="5:28" x14ac:dyDescent="0.25">
      <c r="E285" s="108"/>
      <c r="F285" s="108"/>
      <c r="O285" s="152"/>
      <c r="P285" s="68"/>
      <c r="Q285" s="68"/>
      <c r="AA285" s="68"/>
      <c r="AB285" s="68"/>
    </row>
    <row r="286" spans="5:28" x14ac:dyDescent="0.25">
      <c r="E286" s="108"/>
      <c r="F286" s="108"/>
      <c r="O286" s="152"/>
      <c r="P286" s="68"/>
      <c r="Q286" s="68"/>
      <c r="AA286" s="68"/>
      <c r="AB286" s="68"/>
    </row>
    <row r="287" spans="5:28" x14ac:dyDescent="0.25">
      <c r="E287" s="108"/>
      <c r="F287" s="108"/>
      <c r="O287" s="152"/>
      <c r="P287" s="68"/>
      <c r="Q287" s="68"/>
      <c r="AA287" s="68"/>
      <c r="AB287" s="68"/>
    </row>
    <row r="288" spans="5:28" x14ac:dyDescent="0.25">
      <c r="O288" s="152"/>
      <c r="P288" s="68"/>
      <c r="Q288" s="68"/>
      <c r="AA288" s="68"/>
      <c r="AB288" s="68"/>
    </row>
    <row r="289" spans="5:28" x14ac:dyDescent="0.25">
      <c r="O289" s="152"/>
      <c r="P289" s="68"/>
      <c r="Q289" s="68"/>
      <c r="AA289" s="68"/>
      <c r="AB289" s="68"/>
    </row>
    <row r="290" spans="5:28" x14ac:dyDescent="0.25">
      <c r="E290" s="154"/>
      <c r="F290" s="154"/>
      <c r="O290" s="152"/>
      <c r="P290" s="68"/>
      <c r="Q290" s="68"/>
      <c r="AA290" s="68"/>
      <c r="AB290" s="68"/>
    </row>
    <row r="291" spans="5:28" x14ac:dyDescent="0.25">
      <c r="E291" s="154"/>
      <c r="F291" s="154"/>
      <c r="O291" s="152"/>
      <c r="P291" s="68"/>
      <c r="Q291" s="68"/>
      <c r="AA291" s="68"/>
      <c r="AB291" s="68"/>
    </row>
    <row r="292" spans="5:28" x14ac:dyDescent="0.25">
      <c r="E292" s="154"/>
      <c r="F292" s="154"/>
      <c r="I292" s="108"/>
      <c r="J292" s="108"/>
      <c r="K292" s="108"/>
      <c r="L292" s="108"/>
      <c r="M292" s="108"/>
      <c r="N292" s="108"/>
      <c r="O292" s="101"/>
      <c r="P292" s="68"/>
      <c r="Q292" s="68"/>
      <c r="R292" s="108"/>
      <c r="AA292" s="68"/>
      <c r="AB292" s="68"/>
    </row>
    <row r="293" spans="5:28" x14ac:dyDescent="0.25">
      <c r="E293" s="154"/>
      <c r="F293" s="154"/>
      <c r="I293" s="108"/>
      <c r="J293" s="108"/>
      <c r="K293" s="108"/>
      <c r="L293" s="108"/>
      <c r="M293" s="108"/>
      <c r="N293" s="108"/>
      <c r="O293" s="101"/>
      <c r="P293" s="68"/>
      <c r="Q293" s="68"/>
      <c r="R293" s="108"/>
      <c r="AA293" s="68"/>
      <c r="AB293" s="68"/>
    </row>
    <row r="294" spans="5:28" x14ac:dyDescent="0.25">
      <c r="O294" s="152"/>
      <c r="P294" s="68"/>
      <c r="Q294" s="68"/>
      <c r="AA294" s="68"/>
      <c r="AB294" s="68"/>
    </row>
    <row r="295" spans="5:28" x14ac:dyDescent="0.25">
      <c r="O295" s="152"/>
      <c r="P295" s="68"/>
      <c r="Q295" s="68"/>
      <c r="AA295" s="68"/>
      <c r="AB295" s="68"/>
    </row>
    <row r="296" spans="5:28" x14ac:dyDescent="0.25">
      <c r="I296" s="108"/>
      <c r="J296" s="108"/>
      <c r="K296" s="108"/>
      <c r="L296" s="108"/>
      <c r="M296" s="108"/>
      <c r="N296" s="108"/>
      <c r="O296" s="122"/>
      <c r="P296" s="68"/>
      <c r="Q296" s="68"/>
      <c r="R296" s="108"/>
      <c r="AA296" s="68"/>
      <c r="AB296" s="68"/>
    </row>
    <row r="297" spans="5:28" x14ac:dyDescent="0.25">
      <c r="O297" s="152"/>
      <c r="P297" s="68"/>
      <c r="Q297" s="68"/>
      <c r="AA297" s="68"/>
      <c r="AB297" s="68"/>
    </row>
    <row r="298" spans="5:28" x14ac:dyDescent="0.25">
      <c r="I298" s="108"/>
      <c r="J298" s="108"/>
      <c r="K298" s="108"/>
      <c r="L298" s="108"/>
      <c r="M298" s="108"/>
      <c r="N298" s="108"/>
      <c r="O298" s="122"/>
      <c r="P298" s="68"/>
      <c r="Q298" s="68"/>
      <c r="R298" s="108"/>
      <c r="AA298" s="68"/>
      <c r="AB298" s="68"/>
    </row>
    <row r="299" spans="5:28" x14ac:dyDescent="0.25">
      <c r="O299" s="152"/>
      <c r="P299" s="68"/>
      <c r="Q299" s="68"/>
      <c r="AA299" s="68"/>
      <c r="AB299" s="68"/>
    </row>
    <row r="300" spans="5:28" x14ac:dyDescent="0.25">
      <c r="I300" s="154"/>
      <c r="J300" s="154"/>
      <c r="K300" s="154"/>
      <c r="L300" s="154"/>
      <c r="M300" s="154"/>
      <c r="N300" s="154"/>
      <c r="O300" s="152"/>
      <c r="P300" s="68"/>
      <c r="Q300" s="68"/>
      <c r="R300" s="154"/>
      <c r="AA300" s="68"/>
      <c r="AB300" s="68"/>
    </row>
    <row r="301" spans="5:28" x14ac:dyDescent="0.25">
      <c r="I301" s="154"/>
      <c r="J301" s="154"/>
      <c r="K301" s="154"/>
      <c r="L301" s="154"/>
      <c r="M301" s="154"/>
      <c r="N301" s="154"/>
      <c r="O301" s="152"/>
      <c r="P301" s="68"/>
      <c r="Q301" s="68"/>
      <c r="R301" s="154"/>
      <c r="AA301" s="68"/>
      <c r="AB301" s="68"/>
    </row>
    <row r="302" spans="5:28" x14ac:dyDescent="0.25">
      <c r="O302" s="152"/>
      <c r="P302" s="68"/>
      <c r="Q302" s="68"/>
      <c r="AA302" s="68"/>
      <c r="AB302" s="68"/>
    </row>
    <row r="303" spans="5:28" x14ac:dyDescent="0.25">
      <c r="O303" s="152"/>
      <c r="P303" s="68"/>
      <c r="Q303" s="68"/>
      <c r="AA303" s="68"/>
      <c r="AB303" s="68"/>
    </row>
    <row r="304" spans="5:28" x14ac:dyDescent="0.25">
      <c r="O304" s="152"/>
      <c r="P304" s="68"/>
      <c r="Q304" s="68"/>
      <c r="AA304" s="68"/>
      <c r="AB304" s="68"/>
    </row>
    <row r="305" spans="5:28" x14ac:dyDescent="0.25">
      <c r="O305" s="152"/>
      <c r="P305" s="68"/>
      <c r="Q305" s="68"/>
      <c r="AA305" s="68"/>
      <c r="AB305" s="68"/>
    </row>
    <row r="306" spans="5:28" x14ac:dyDescent="0.25">
      <c r="O306" s="152"/>
      <c r="P306" s="17"/>
      <c r="Q306" s="17"/>
      <c r="AA306" s="17"/>
      <c r="AB306" s="17"/>
    </row>
    <row r="307" spans="5:28" x14ac:dyDescent="0.25">
      <c r="O307" s="152"/>
    </row>
    <row r="308" spans="5:28" x14ac:dyDescent="0.25">
      <c r="O308" s="152"/>
    </row>
    <row r="309" spans="5:28" x14ac:dyDescent="0.25">
      <c r="O309" s="152"/>
    </row>
    <row r="310" spans="5:28" x14ac:dyDescent="0.25">
      <c r="E310" s="108"/>
      <c r="F310" s="108"/>
      <c r="H310" s="101"/>
      <c r="O310" s="152"/>
    </row>
    <row r="311" spans="5:28" x14ac:dyDescent="0.25">
      <c r="O311" s="152"/>
    </row>
    <row r="312" spans="5:28" x14ac:dyDescent="0.25">
      <c r="O312" s="152"/>
    </row>
    <row r="313" spans="5:28" x14ac:dyDescent="0.25">
      <c r="E313" s="3"/>
      <c r="F313" s="3"/>
      <c r="O313" s="152"/>
    </row>
    <row r="314" spans="5:28" x14ac:dyDescent="0.25">
      <c r="O314" s="152"/>
    </row>
    <row r="315" spans="5:28" x14ac:dyDescent="0.25">
      <c r="E315" s="108"/>
      <c r="F315" s="108"/>
      <c r="H315" s="101"/>
      <c r="O315" s="152"/>
    </row>
    <row r="316" spans="5:28" x14ac:dyDescent="0.25">
      <c r="E316" s="108"/>
      <c r="F316" s="108"/>
      <c r="H316" s="101"/>
      <c r="I316" s="108"/>
      <c r="J316" s="108"/>
      <c r="K316" s="108"/>
      <c r="L316" s="108"/>
      <c r="M316" s="108"/>
      <c r="N316" s="108"/>
      <c r="O316" s="101"/>
      <c r="R316" s="108"/>
    </row>
    <row r="317" spans="5:28" x14ac:dyDescent="0.25">
      <c r="O317" s="152"/>
    </row>
    <row r="318" spans="5:28" x14ac:dyDescent="0.25">
      <c r="O318" s="152"/>
    </row>
    <row r="319" spans="5:28" x14ac:dyDescent="0.25">
      <c r="O319" s="152"/>
    </row>
    <row r="320" spans="5:28" x14ac:dyDescent="0.25">
      <c r="O320" s="152"/>
    </row>
    <row r="321" spans="15:15" x14ac:dyDescent="0.25">
      <c r="O321" s="152"/>
    </row>
    <row r="322" spans="15:15" x14ac:dyDescent="0.25">
      <c r="O322" s="152"/>
    </row>
    <row r="323" spans="15:15" x14ac:dyDescent="0.25">
      <c r="O323" s="152"/>
    </row>
    <row r="324" spans="15:15" x14ac:dyDescent="0.25">
      <c r="O324" s="152"/>
    </row>
    <row r="325" spans="15:15" x14ac:dyDescent="0.25">
      <c r="O325" s="152"/>
    </row>
    <row r="327" spans="15:15" x14ac:dyDescent="0.25">
      <c r="O327" s="152"/>
    </row>
  </sheetData>
  <sortState xmlns:xlrd2="http://schemas.microsoft.com/office/spreadsheetml/2017/richdata2" ref="A8:BO47">
    <sortCondition ref="A47"/>
  </sortState>
  <mergeCells count="8">
    <mergeCell ref="AM3:AS3"/>
    <mergeCell ref="A5:C5"/>
    <mergeCell ref="A7:C7"/>
    <mergeCell ref="A48:C48"/>
    <mergeCell ref="A1:C2"/>
    <mergeCell ref="AD3:AI3"/>
    <mergeCell ref="W3:X3"/>
    <mergeCell ref="L3:M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O528"/>
  <sheetViews>
    <sheetView zoomScaleNormal="100" workbookViewId="0">
      <pane xSplit="4" ySplit="4" topLeftCell="E5" activePane="bottomRight" state="frozen"/>
      <selection pane="topRight" activeCell="E1" sqref="E1"/>
      <selection pane="bottomLeft" activeCell="A3" sqref="A3"/>
      <selection pane="bottomRight" activeCell="B55" sqref="B55"/>
    </sheetView>
  </sheetViews>
  <sheetFormatPr defaultRowHeight="15" x14ac:dyDescent="0.25"/>
  <cols>
    <col min="1" max="1" width="19.7109375" style="12" bestFit="1" customWidth="1"/>
    <col min="2" max="2" width="22.5703125" style="4" bestFit="1" customWidth="1"/>
    <col min="3" max="3" width="8.140625" style="4" bestFit="1" customWidth="1"/>
    <col min="4" max="4" width="12.140625" style="15" customWidth="1"/>
    <col min="5" max="5" width="12.28515625" style="283" customWidth="1"/>
    <col min="6" max="6" width="12.28515625" style="278" customWidth="1"/>
    <col min="7" max="7" width="12.28515625" style="120" customWidth="1"/>
    <col min="8" max="8" width="2.7109375" style="13" customWidth="1"/>
    <col min="9" max="9" width="12.28515625" style="261" customWidth="1"/>
    <col min="10" max="10" width="12.28515625" style="246" customWidth="1"/>
    <col min="11" max="11" width="12.28515625" style="241" customWidth="1"/>
    <col min="12" max="12" width="12.28515625" style="228" customWidth="1"/>
    <col min="13" max="13" width="12.28515625" style="215" customWidth="1"/>
    <col min="14" max="14" width="12.28515625" style="267" customWidth="1"/>
    <col min="15" max="15" width="11" style="215" customWidth="1"/>
    <col min="16" max="17" width="9.140625" style="3"/>
    <col min="18" max="18" width="2.85546875" style="215" customWidth="1"/>
    <col min="19" max="20" width="12.28515625" style="159" customWidth="1"/>
    <col min="21" max="25" width="11.140625" style="159" customWidth="1"/>
    <col min="26" max="26" width="11.140625" style="26" customWidth="1"/>
    <col min="27" max="28" width="9.140625" style="3"/>
    <col min="29" max="29" width="3.7109375" style="26" customWidth="1"/>
    <col min="30" max="35" width="11.140625" style="26" customWidth="1"/>
    <col min="36" max="37" width="9.140625" style="4"/>
    <col min="38" max="38" width="3.7109375" style="26" customWidth="1"/>
    <col min="39" max="39" width="8.85546875" style="26" customWidth="1"/>
    <col min="40" max="42" width="10.7109375" style="26" customWidth="1"/>
    <col min="43" max="43" width="12.5703125" style="26" customWidth="1"/>
    <col min="44" max="44" width="10.7109375" style="26" customWidth="1"/>
    <col min="45" max="45" width="8.85546875" style="26" customWidth="1"/>
    <col min="46" max="16384" width="9.140625" style="4"/>
  </cols>
  <sheetData>
    <row r="1" spans="1:48" ht="15" customHeight="1" x14ac:dyDescent="0.5">
      <c r="A1" s="336" t="s">
        <v>12</v>
      </c>
      <c r="B1" s="337"/>
      <c r="C1" s="337"/>
      <c r="D1" s="40"/>
      <c r="E1" s="271"/>
      <c r="F1" s="271"/>
      <c r="G1" s="102"/>
      <c r="H1" s="211"/>
      <c r="I1" s="102"/>
      <c r="J1" s="102"/>
      <c r="K1" s="102"/>
      <c r="L1" s="102"/>
      <c r="M1" s="102"/>
      <c r="N1" s="102"/>
      <c r="O1" s="102"/>
      <c r="R1" s="102"/>
      <c r="S1" s="158"/>
      <c r="T1" s="158"/>
      <c r="U1" s="158"/>
      <c r="V1" s="158"/>
      <c r="W1" s="158"/>
      <c r="X1" s="158"/>
      <c r="Y1" s="158"/>
      <c r="Z1" s="110"/>
      <c r="AC1" s="110"/>
      <c r="AD1" s="110"/>
      <c r="AE1" s="110"/>
      <c r="AF1" s="110"/>
      <c r="AG1" s="110"/>
      <c r="AH1" s="110"/>
      <c r="AI1" s="110"/>
      <c r="AL1" s="110"/>
      <c r="AM1" s="40"/>
      <c r="AN1" s="40"/>
      <c r="AO1" s="40"/>
      <c r="AP1" s="40"/>
      <c r="AQ1" s="40"/>
      <c r="AR1" s="40"/>
      <c r="AS1" s="40"/>
    </row>
    <row r="2" spans="1:48" ht="15" customHeight="1" x14ac:dyDescent="0.5">
      <c r="A2" s="338"/>
      <c r="B2" s="339"/>
      <c r="C2" s="339"/>
      <c r="D2" s="40"/>
      <c r="E2" s="272"/>
      <c r="F2" s="272"/>
      <c r="G2" s="103"/>
      <c r="H2" s="212"/>
      <c r="I2" s="103"/>
      <c r="J2" s="103"/>
      <c r="K2" s="103"/>
      <c r="L2" s="103"/>
      <c r="M2" s="103"/>
      <c r="N2" s="103"/>
      <c r="O2" s="103"/>
      <c r="R2" s="103"/>
      <c r="S2" s="158"/>
      <c r="T2" s="158"/>
      <c r="U2" s="158"/>
      <c r="V2" s="158"/>
      <c r="W2" s="158"/>
      <c r="X2" s="158"/>
      <c r="Y2" s="158"/>
      <c r="Z2" s="110"/>
      <c r="AC2" s="110"/>
      <c r="AD2" s="110"/>
      <c r="AE2" s="110"/>
      <c r="AF2" s="110"/>
      <c r="AG2" s="110"/>
      <c r="AH2" s="110"/>
      <c r="AI2" s="110"/>
      <c r="AL2" s="110"/>
      <c r="AM2" s="40"/>
      <c r="AN2" s="40"/>
      <c r="AO2" s="40"/>
      <c r="AP2" s="40"/>
      <c r="AQ2" s="40"/>
      <c r="AR2" s="40"/>
      <c r="AS2" s="40"/>
    </row>
    <row r="3" spans="1:48" s="5" customFormat="1" x14ac:dyDescent="0.25">
      <c r="A3" s="10"/>
      <c r="D3" s="14"/>
      <c r="E3" s="282"/>
      <c r="F3" s="275"/>
      <c r="G3" s="275"/>
      <c r="H3" s="279"/>
      <c r="I3" s="259"/>
      <c r="J3" s="245"/>
      <c r="K3" s="240"/>
      <c r="L3" s="36"/>
      <c r="M3" s="36">
        <v>2025</v>
      </c>
      <c r="N3" s="265"/>
      <c r="O3" s="215"/>
      <c r="P3" s="6"/>
      <c r="Q3" s="6"/>
      <c r="R3" s="36"/>
      <c r="S3" s="205"/>
      <c r="T3" s="196"/>
      <c r="U3" s="33"/>
      <c r="V3" s="33"/>
      <c r="W3" s="340">
        <v>2024</v>
      </c>
      <c r="X3" s="341"/>
      <c r="Y3" s="225"/>
      <c r="Z3" s="33"/>
      <c r="AA3" s="6"/>
      <c r="AB3" s="6"/>
      <c r="AC3" s="33"/>
      <c r="AD3" s="33"/>
      <c r="AE3" s="33"/>
      <c r="AF3" s="33"/>
      <c r="AG3" s="33">
        <v>2023</v>
      </c>
      <c r="AH3" s="33"/>
      <c r="AI3" s="33"/>
      <c r="AL3" s="33"/>
      <c r="AM3" s="308">
        <v>2022</v>
      </c>
      <c r="AN3" s="310"/>
      <c r="AO3" s="75"/>
      <c r="AP3" s="75"/>
      <c r="AQ3" s="75"/>
      <c r="AR3" s="75"/>
      <c r="AS3" s="33"/>
    </row>
    <row r="4" spans="1:48" s="5" customFormat="1" ht="107.25" customHeight="1" x14ac:dyDescent="0.25">
      <c r="A4" s="5" t="s">
        <v>1</v>
      </c>
      <c r="B4" s="5" t="s">
        <v>2</v>
      </c>
      <c r="C4" s="5" t="s">
        <v>3</v>
      </c>
      <c r="D4" s="49" t="s">
        <v>1399</v>
      </c>
      <c r="E4" s="291" t="s">
        <v>1398</v>
      </c>
      <c r="F4" s="281" t="s">
        <v>1363</v>
      </c>
      <c r="G4" s="273" t="s">
        <v>5</v>
      </c>
      <c r="H4" s="68"/>
      <c r="I4" s="270" t="s">
        <v>1285</v>
      </c>
      <c r="J4" s="249" t="s">
        <v>1260</v>
      </c>
      <c r="K4" s="249" t="s">
        <v>1208</v>
      </c>
      <c r="L4" s="233" t="s">
        <v>1078</v>
      </c>
      <c r="M4" s="226" t="s">
        <v>4</v>
      </c>
      <c r="N4" s="221" t="s">
        <v>543</v>
      </c>
      <c r="O4" s="119" t="s">
        <v>5</v>
      </c>
      <c r="P4" s="96" t="s">
        <v>1362</v>
      </c>
      <c r="Q4" s="97" t="s">
        <v>541</v>
      </c>
      <c r="R4" s="226"/>
      <c r="S4" s="206" t="s">
        <v>460</v>
      </c>
      <c r="T4" s="197" t="s">
        <v>390</v>
      </c>
      <c r="U4" s="188" t="s">
        <v>227</v>
      </c>
      <c r="V4" s="173" t="s">
        <v>870</v>
      </c>
      <c r="W4" s="157" t="s">
        <v>291</v>
      </c>
      <c r="X4" s="157" t="s">
        <v>4</v>
      </c>
      <c r="Y4" s="221" t="s">
        <v>543</v>
      </c>
      <c r="Z4" s="95" t="s">
        <v>5</v>
      </c>
      <c r="AA4" s="96" t="s">
        <v>1061</v>
      </c>
      <c r="AB4" s="97" t="s">
        <v>541</v>
      </c>
      <c r="AC4" s="140"/>
      <c r="AD4" s="137" t="s">
        <v>390</v>
      </c>
      <c r="AE4" s="133" t="s">
        <v>227</v>
      </c>
      <c r="AF4" s="116" t="s">
        <v>291</v>
      </c>
      <c r="AG4" s="116" t="s">
        <v>4</v>
      </c>
      <c r="AH4" s="105" t="s">
        <v>543</v>
      </c>
      <c r="AI4" s="95" t="s">
        <v>5</v>
      </c>
      <c r="AJ4" s="96" t="s">
        <v>540</v>
      </c>
      <c r="AK4" s="97" t="s">
        <v>541</v>
      </c>
      <c r="AL4" s="42"/>
      <c r="AM4" s="44" t="s">
        <v>4</v>
      </c>
      <c r="AN4" s="59" t="s">
        <v>62</v>
      </c>
      <c r="AO4" s="73" t="s">
        <v>227</v>
      </c>
      <c r="AP4" s="79" t="s">
        <v>291</v>
      </c>
      <c r="AQ4" s="111" t="s">
        <v>390</v>
      </c>
      <c r="AR4" s="93" t="s">
        <v>460</v>
      </c>
      <c r="AS4" s="33" t="s">
        <v>34</v>
      </c>
      <c r="AT4" s="95" t="s">
        <v>5</v>
      </c>
      <c r="AU4" s="96" t="s">
        <v>540</v>
      </c>
      <c r="AV4" s="97" t="s">
        <v>541</v>
      </c>
    </row>
    <row r="5" spans="1:48" x14ac:dyDescent="0.25">
      <c r="A5" s="331" t="s">
        <v>13</v>
      </c>
      <c r="B5" s="332"/>
      <c r="C5" s="333"/>
      <c r="D5" s="24"/>
      <c r="H5" s="280"/>
      <c r="O5" s="120"/>
      <c r="P5" s="96"/>
      <c r="Q5" s="97"/>
      <c r="Z5" s="125"/>
      <c r="AA5" s="96"/>
      <c r="AB5" s="97"/>
      <c r="AC5" s="144"/>
      <c r="AD5" s="136"/>
      <c r="AE5" s="132"/>
      <c r="AF5" s="115"/>
      <c r="AG5" s="113"/>
      <c r="AH5" s="92"/>
      <c r="AI5" s="125"/>
      <c r="AJ5" s="96"/>
      <c r="AK5" s="97"/>
      <c r="AL5" s="92"/>
      <c r="AM5" s="35"/>
      <c r="AN5" s="38"/>
      <c r="AO5" s="58"/>
      <c r="AP5" s="70"/>
      <c r="AQ5" s="92"/>
      <c r="AR5" s="89"/>
      <c r="AS5" s="35"/>
      <c r="AT5" s="95"/>
      <c r="AU5" s="96"/>
      <c r="AV5" s="97"/>
    </row>
    <row r="6" spans="1:48" s="52" customFormat="1" x14ac:dyDescent="0.25">
      <c r="A6" s="51" t="s">
        <v>375</v>
      </c>
      <c r="B6" s="65" t="s">
        <v>36</v>
      </c>
      <c r="C6" s="52">
        <v>2004</v>
      </c>
      <c r="D6" s="1">
        <f t="shared" ref="D6:D20" si="0">Q6+F6+E6</f>
        <v>841</v>
      </c>
      <c r="E6" s="283"/>
      <c r="F6" s="278"/>
      <c r="G6" s="120"/>
      <c r="H6" s="280"/>
      <c r="I6" s="261"/>
      <c r="J6" s="246"/>
      <c r="K6" s="241"/>
      <c r="L6" s="228"/>
      <c r="M6" s="215"/>
      <c r="N6" s="267">
        <f t="shared" ref="N6:N20" si="1">AB6</f>
        <v>841</v>
      </c>
      <c r="O6" s="120"/>
      <c r="P6" s="96">
        <f t="shared" ref="P6:P20" si="2">I6+J6+K6+L6+M6+N6</f>
        <v>841</v>
      </c>
      <c r="Q6" s="97">
        <f t="shared" ref="Q6:Q20" si="3">IF(C6=2009, P6/3,P6)+O6</f>
        <v>841</v>
      </c>
      <c r="R6" s="215"/>
      <c r="S6" s="201"/>
      <c r="T6" s="192"/>
      <c r="U6" s="183"/>
      <c r="V6" s="168">
        <f>9+6</f>
        <v>15</v>
      </c>
      <c r="W6" s="50">
        <f>48+33+12+12</f>
        <v>105</v>
      </c>
      <c r="X6" s="50"/>
      <c r="Y6" s="215">
        <f t="shared" ref="Y6:Y20" si="4">AK6</f>
        <v>721</v>
      </c>
      <c r="Z6" s="120"/>
      <c r="AA6" s="96">
        <f t="shared" ref="AA6:AA20" si="5">S6+T6+U6+V6+W6+X6+Y6</f>
        <v>841</v>
      </c>
      <c r="AB6" s="97">
        <f t="shared" ref="AB6:AB20" si="6">IF(C6=2008, AA6/3,AA6)+Z6</f>
        <v>841</v>
      </c>
      <c r="AC6" s="22"/>
      <c r="AD6" s="50"/>
      <c r="AE6" s="50">
        <f>15</f>
        <v>15</v>
      </c>
      <c r="AF6" s="50">
        <f>18+51</f>
        <v>69</v>
      </c>
      <c r="AG6" s="50"/>
      <c r="AH6" s="50">
        <f t="shared" ref="AH6:AH17" si="7">AV6</f>
        <v>637</v>
      </c>
      <c r="AI6" s="120"/>
      <c r="AJ6" s="96">
        <f t="shared" ref="AJ6:AJ20" si="8">SUM(AD6:AH6)</f>
        <v>721</v>
      </c>
      <c r="AK6" s="97">
        <f>IF(C6=2007, AJ6/3,AJ6)+AI6</f>
        <v>721</v>
      </c>
      <c r="AL6" s="22"/>
      <c r="AM6" s="26"/>
      <c r="AN6" s="26"/>
      <c r="AO6" s="26"/>
      <c r="AP6" s="26">
        <f>18+6</f>
        <v>24</v>
      </c>
      <c r="AQ6" s="26"/>
      <c r="AR6" s="26">
        <f>15+18</f>
        <v>33</v>
      </c>
      <c r="AS6" s="26">
        <f>580</f>
        <v>580</v>
      </c>
      <c r="AT6" s="95"/>
      <c r="AU6" s="96">
        <f t="shared" ref="AU6:AU17" si="9">SUM(AM6:AS6)</f>
        <v>637</v>
      </c>
      <c r="AV6" s="97">
        <f>IF(C6=2006, AU6/3,AU6)+AT6</f>
        <v>637</v>
      </c>
    </row>
    <row r="7" spans="1:48" s="3" customFormat="1" x14ac:dyDescent="0.25">
      <c r="A7" s="11" t="s">
        <v>360</v>
      </c>
      <c r="B7" s="19" t="s">
        <v>36</v>
      </c>
      <c r="C7" s="3">
        <v>2006</v>
      </c>
      <c r="D7" s="1">
        <f t="shared" si="0"/>
        <v>529</v>
      </c>
      <c r="E7" s="283"/>
      <c r="F7" s="278"/>
      <c r="G7" s="120"/>
      <c r="H7" s="280"/>
      <c r="I7" s="261"/>
      <c r="J7" s="246"/>
      <c r="K7" s="241"/>
      <c r="L7" s="228"/>
      <c r="M7" s="215"/>
      <c r="N7" s="267">
        <f t="shared" si="1"/>
        <v>529</v>
      </c>
      <c r="O7" s="152"/>
      <c r="P7" s="96">
        <f t="shared" si="2"/>
        <v>529</v>
      </c>
      <c r="Q7" s="97">
        <f t="shared" si="3"/>
        <v>529</v>
      </c>
      <c r="R7" s="215"/>
      <c r="S7" s="201"/>
      <c r="T7" s="192"/>
      <c r="U7" s="183"/>
      <c r="V7" s="168">
        <f>6+6+6</f>
        <v>18</v>
      </c>
      <c r="W7" s="50">
        <f>39+18+12+12</f>
        <v>81</v>
      </c>
      <c r="X7" s="50"/>
      <c r="Y7" s="215">
        <f t="shared" si="4"/>
        <v>430</v>
      </c>
      <c r="Z7" s="120"/>
      <c r="AA7" s="96">
        <f t="shared" si="5"/>
        <v>529</v>
      </c>
      <c r="AB7" s="97">
        <f t="shared" si="6"/>
        <v>529</v>
      </c>
      <c r="AC7" s="22"/>
      <c r="AD7" s="50">
        <f>12</f>
        <v>12</v>
      </c>
      <c r="AE7" s="50"/>
      <c r="AF7" s="50">
        <f>33</f>
        <v>33</v>
      </c>
      <c r="AG7" s="50">
        <f>27+6</f>
        <v>33</v>
      </c>
      <c r="AH7" s="50">
        <f t="shared" si="7"/>
        <v>352</v>
      </c>
      <c r="AI7" s="120"/>
      <c r="AJ7" s="96">
        <f t="shared" si="8"/>
        <v>430</v>
      </c>
      <c r="AK7" s="97">
        <f>IF(C7=2007, AJ7/3,AJ7)+AI7</f>
        <v>430</v>
      </c>
      <c r="AL7" s="22"/>
      <c r="AM7" s="13"/>
      <c r="AN7" s="13"/>
      <c r="AO7" s="13"/>
      <c r="AP7" s="13">
        <f>57</f>
        <v>57</v>
      </c>
      <c r="AQ7" s="13">
        <f>9+3</f>
        <v>12</v>
      </c>
      <c r="AR7" s="13">
        <f>27+12</f>
        <v>39</v>
      </c>
      <c r="AS7" s="13">
        <v>948</v>
      </c>
      <c r="AT7" s="95"/>
      <c r="AU7" s="96">
        <f t="shared" si="9"/>
        <v>1056</v>
      </c>
      <c r="AV7" s="97">
        <f>IF(C7=2006, AU7/3,AU7)+AT7</f>
        <v>352</v>
      </c>
    </row>
    <row r="8" spans="1:48" s="3" customFormat="1" x14ac:dyDescent="0.25">
      <c r="A8" s="11" t="s">
        <v>362</v>
      </c>
      <c r="B8" s="19" t="s">
        <v>36</v>
      </c>
      <c r="C8" s="3">
        <v>2007</v>
      </c>
      <c r="D8" s="1">
        <f t="shared" si="0"/>
        <v>298</v>
      </c>
      <c r="E8" s="283"/>
      <c r="F8" s="278"/>
      <c r="G8" s="120"/>
      <c r="H8" s="280"/>
      <c r="I8" s="261"/>
      <c r="J8" s="246"/>
      <c r="K8" s="241"/>
      <c r="L8" s="228"/>
      <c r="M8" s="215"/>
      <c r="N8" s="267">
        <f t="shared" si="1"/>
        <v>298</v>
      </c>
      <c r="O8" s="120"/>
      <c r="P8" s="96">
        <f t="shared" si="2"/>
        <v>298</v>
      </c>
      <c r="Q8" s="97">
        <f t="shared" si="3"/>
        <v>298</v>
      </c>
      <c r="R8" s="215"/>
      <c r="S8" s="201"/>
      <c r="T8" s="192"/>
      <c r="U8" s="183"/>
      <c r="V8" s="168">
        <f>3+6</f>
        <v>9</v>
      </c>
      <c r="W8" s="50">
        <f>0+12</f>
        <v>12</v>
      </c>
      <c r="X8" s="50"/>
      <c r="Y8" s="215">
        <f t="shared" si="4"/>
        <v>277</v>
      </c>
      <c r="Z8" s="120"/>
      <c r="AA8" s="96">
        <f t="shared" si="5"/>
        <v>298</v>
      </c>
      <c r="AB8" s="97">
        <f t="shared" si="6"/>
        <v>298</v>
      </c>
      <c r="AC8" s="22"/>
      <c r="AD8" s="50"/>
      <c r="AE8" s="50">
        <f>15</f>
        <v>15</v>
      </c>
      <c r="AF8" s="50">
        <f>255</f>
        <v>255</v>
      </c>
      <c r="AG8" s="50">
        <f>15</f>
        <v>15</v>
      </c>
      <c r="AH8" s="50">
        <f t="shared" si="7"/>
        <v>528</v>
      </c>
      <c r="AI8" s="120">
        <f>6</f>
        <v>6</v>
      </c>
      <c r="AJ8" s="96">
        <f t="shared" si="8"/>
        <v>813</v>
      </c>
      <c r="AK8" s="97">
        <f>IF(C8=2007, AJ8/3,AJ8)+AI8</f>
        <v>277</v>
      </c>
      <c r="AL8" s="22"/>
      <c r="AM8" s="13"/>
      <c r="AN8" s="13"/>
      <c r="AO8" s="13"/>
      <c r="AP8" s="13">
        <f>51</f>
        <v>51</v>
      </c>
      <c r="AQ8" s="13">
        <f>12+3</f>
        <v>15</v>
      </c>
      <c r="AR8" s="13">
        <f>21+12</f>
        <v>33</v>
      </c>
      <c r="AS8" s="13">
        <v>429</v>
      </c>
      <c r="AT8" s="95"/>
      <c r="AU8" s="96">
        <f t="shared" si="9"/>
        <v>528</v>
      </c>
      <c r="AV8" s="97">
        <f>IF(C8=2010, AU8/3,AU8)+AT8</f>
        <v>528</v>
      </c>
    </row>
    <row r="9" spans="1:48" s="3" customFormat="1" x14ac:dyDescent="0.25">
      <c r="A9" s="11" t="s">
        <v>284</v>
      </c>
      <c r="B9" s="19" t="s">
        <v>0</v>
      </c>
      <c r="C9" s="3">
        <v>2006</v>
      </c>
      <c r="D9" s="1">
        <f t="shared" si="0"/>
        <v>392</v>
      </c>
      <c r="E9" s="283"/>
      <c r="F9" s="278"/>
      <c r="G9" s="120"/>
      <c r="H9" s="280"/>
      <c r="I9" s="261"/>
      <c r="J9" s="246"/>
      <c r="K9" s="241"/>
      <c r="L9" s="228"/>
      <c r="M9" s="215"/>
      <c r="N9" s="267">
        <f t="shared" si="1"/>
        <v>392</v>
      </c>
      <c r="O9" s="152"/>
      <c r="P9" s="96">
        <f t="shared" si="2"/>
        <v>392</v>
      </c>
      <c r="Q9" s="97">
        <f t="shared" si="3"/>
        <v>392</v>
      </c>
      <c r="R9" s="215"/>
      <c r="S9" s="201">
        <f>6</f>
        <v>6</v>
      </c>
      <c r="T9" s="192"/>
      <c r="U9" s="183"/>
      <c r="V9" s="168">
        <f>12+3</f>
        <v>15</v>
      </c>
      <c r="W9" s="50">
        <f>30+6</f>
        <v>36</v>
      </c>
      <c r="X9" s="50">
        <f>24+3</f>
        <v>27</v>
      </c>
      <c r="Y9" s="215">
        <f t="shared" si="4"/>
        <v>308</v>
      </c>
      <c r="Z9" s="120"/>
      <c r="AA9" s="96">
        <f t="shared" si="5"/>
        <v>392</v>
      </c>
      <c r="AB9" s="97">
        <f t="shared" si="6"/>
        <v>392</v>
      </c>
      <c r="AC9" s="22"/>
      <c r="AD9" s="50">
        <f>9</f>
        <v>9</v>
      </c>
      <c r="AE9" s="50">
        <f>9</f>
        <v>9</v>
      </c>
      <c r="AF9" s="50">
        <f>39</f>
        <v>39</v>
      </c>
      <c r="AG9" s="50"/>
      <c r="AH9" s="50">
        <f t="shared" si="7"/>
        <v>251</v>
      </c>
      <c r="AI9" s="120"/>
      <c r="AJ9" s="96">
        <f t="shared" si="8"/>
        <v>308</v>
      </c>
      <c r="AK9" s="97">
        <f>IF(C9=2007, AJ9/3,AJ9)+AI9</f>
        <v>308</v>
      </c>
      <c r="AL9" s="22"/>
      <c r="AM9" s="13"/>
      <c r="AN9" s="13"/>
      <c r="AO9" s="13">
        <f>9</f>
        <v>9</v>
      </c>
      <c r="AP9" s="13">
        <f>30+6</f>
        <v>36</v>
      </c>
      <c r="AQ9" s="13">
        <f>3+6+6</f>
        <v>15</v>
      </c>
      <c r="AR9" s="13">
        <f>18+9+3</f>
        <v>30</v>
      </c>
      <c r="AS9" s="13">
        <f>663</f>
        <v>663</v>
      </c>
      <c r="AT9" s="95"/>
      <c r="AU9" s="96">
        <f t="shared" si="9"/>
        <v>753</v>
      </c>
      <c r="AV9" s="97">
        <f>IF(C9=2006, AU9/3,AU9)+AT9</f>
        <v>251</v>
      </c>
    </row>
    <row r="10" spans="1:48" s="52" customFormat="1" x14ac:dyDescent="0.25">
      <c r="A10" s="51" t="s">
        <v>9</v>
      </c>
      <c r="B10" s="65" t="s">
        <v>63</v>
      </c>
      <c r="C10" s="52">
        <v>2005</v>
      </c>
      <c r="D10" s="1">
        <f t="shared" si="0"/>
        <v>450.14814814814815</v>
      </c>
      <c r="E10" s="154"/>
      <c r="F10" s="154"/>
      <c r="G10" s="120"/>
      <c r="H10" s="280"/>
      <c r="I10" s="154"/>
      <c r="J10" s="154"/>
      <c r="K10" s="154"/>
      <c r="L10" s="154"/>
      <c r="M10" s="154"/>
      <c r="N10" s="267">
        <f t="shared" si="1"/>
        <v>450.14814814814815</v>
      </c>
      <c r="O10" s="152"/>
      <c r="P10" s="96">
        <f t="shared" si="2"/>
        <v>450.14814814814815</v>
      </c>
      <c r="Q10" s="97">
        <f t="shared" si="3"/>
        <v>450.14814814814815</v>
      </c>
      <c r="R10" s="154"/>
      <c r="S10" s="201">
        <f>3</f>
        <v>3</v>
      </c>
      <c r="T10" s="192"/>
      <c r="U10" s="183"/>
      <c r="V10" s="168">
        <f>9</f>
        <v>9</v>
      </c>
      <c r="W10" s="50">
        <f>45+9</f>
        <v>54</v>
      </c>
      <c r="X10" s="50"/>
      <c r="Y10" s="215">
        <f t="shared" si="4"/>
        <v>384.14814814814815</v>
      </c>
      <c r="Z10" s="120"/>
      <c r="AA10" s="96">
        <f t="shared" si="5"/>
        <v>450.14814814814815</v>
      </c>
      <c r="AB10" s="97">
        <f t="shared" si="6"/>
        <v>450.14814814814815</v>
      </c>
      <c r="AC10" s="22"/>
      <c r="AD10" s="50"/>
      <c r="AE10" s="50">
        <f>12</f>
        <v>12</v>
      </c>
      <c r="AF10" s="50">
        <f>45</f>
        <v>45</v>
      </c>
      <c r="AG10" s="50">
        <f>3+3</f>
        <v>6</v>
      </c>
      <c r="AH10" s="50">
        <f t="shared" si="7"/>
        <v>321.14814814814815</v>
      </c>
      <c r="AI10" s="120"/>
      <c r="AJ10" s="96">
        <f t="shared" si="8"/>
        <v>384.14814814814815</v>
      </c>
      <c r="AK10" s="97">
        <f>IF(C10=2007, AJ10/3,AJ10)+AI10</f>
        <v>384.14814814814815</v>
      </c>
      <c r="AL10" s="22"/>
      <c r="AM10" s="26">
        <f>0</f>
        <v>0</v>
      </c>
      <c r="AN10" s="26">
        <v>30</v>
      </c>
      <c r="AO10" s="26">
        <f>3</f>
        <v>3</v>
      </c>
      <c r="AP10" s="26">
        <f>12</f>
        <v>12</v>
      </c>
      <c r="AQ10" s="26"/>
      <c r="AR10" s="26">
        <f>6+3+6</f>
        <v>15</v>
      </c>
      <c r="AS10" s="26">
        <v>261.14814814814815</v>
      </c>
      <c r="AT10" s="95"/>
      <c r="AU10" s="96">
        <f t="shared" si="9"/>
        <v>321.14814814814815</v>
      </c>
      <c r="AV10" s="97">
        <f>IF(C10=2006, AU10/3,AU10)+AT10</f>
        <v>321.14814814814815</v>
      </c>
    </row>
    <row r="11" spans="1:48" s="3" customFormat="1" x14ac:dyDescent="0.25">
      <c r="A11" s="11" t="s">
        <v>355</v>
      </c>
      <c r="B11" s="19" t="s">
        <v>0</v>
      </c>
      <c r="C11" s="3">
        <v>2008</v>
      </c>
      <c r="D11" s="1">
        <f t="shared" si="0"/>
        <v>246</v>
      </c>
      <c r="E11" s="283"/>
      <c r="F11" s="278"/>
      <c r="G11" s="120"/>
      <c r="H11" s="280"/>
      <c r="I11" s="261"/>
      <c r="J11" s="246"/>
      <c r="K11" s="241"/>
      <c r="L11" s="228"/>
      <c r="M11" s="215"/>
      <c r="N11" s="267">
        <f t="shared" si="1"/>
        <v>246</v>
      </c>
      <c r="O11" s="120"/>
      <c r="P11" s="96">
        <f t="shared" si="2"/>
        <v>246</v>
      </c>
      <c r="Q11" s="97">
        <f t="shared" si="3"/>
        <v>246</v>
      </c>
      <c r="R11" s="215"/>
      <c r="S11" s="201"/>
      <c r="T11" s="192"/>
      <c r="U11" s="183"/>
      <c r="V11" s="168"/>
      <c r="W11" s="50"/>
      <c r="X11" s="50"/>
      <c r="Y11" s="215">
        <f t="shared" si="4"/>
        <v>738</v>
      </c>
      <c r="Z11" s="120"/>
      <c r="AA11" s="96">
        <f t="shared" si="5"/>
        <v>738</v>
      </c>
      <c r="AB11" s="97">
        <f t="shared" si="6"/>
        <v>246</v>
      </c>
      <c r="AC11" s="22"/>
      <c r="AD11" s="50"/>
      <c r="AE11" s="50">
        <f>12</f>
        <v>12</v>
      </c>
      <c r="AF11" s="50">
        <f>240</f>
        <v>240</v>
      </c>
      <c r="AG11" s="50"/>
      <c r="AH11" s="50">
        <f t="shared" si="7"/>
        <v>486</v>
      </c>
      <c r="AI11" s="120"/>
      <c r="AJ11" s="96">
        <f t="shared" si="8"/>
        <v>738</v>
      </c>
      <c r="AK11" s="97">
        <f>IF(C11=2011, AJ11/3,AJ11)+AI11</f>
        <v>738</v>
      </c>
      <c r="AL11" s="22"/>
      <c r="AM11" s="13"/>
      <c r="AN11" s="13"/>
      <c r="AO11" s="13"/>
      <c r="AP11" s="13">
        <f>39+6</f>
        <v>45</v>
      </c>
      <c r="AQ11" s="13">
        <f>9+6+6</f>
        <v>21</v>
      </c>
      <c r="AR11" s="13">
        <f>66+9+3</f>
        <v>78</v>
      </c>
      <c r="AS11" s="13">
        <v>342</v>
      </c>
      <c r="AT11" s="95"/>
      <c r="AU11" s="96">
        <f t="shared" si="9"/>
        <v>486</v>
      </c>
      <c r="AV11" s="97">
        <f>IF(C11=2010, AU11/3,AU11)+AT11</f>
        <v>486</v>
      </c>
    </row>
    <row r="12" spans="1:48" s="3" customFormat="1" x14ac:dyDescent="0.25">
      <c r="A12" s="60" t="s">
        <v>163</v>
      </c>
      <c r="B12" s="85" t="s">
        <v>64</v>
      </c>
      <c r="C12" s="62">
        <v>2007</v>
      </c>
      <c r="D12" s="1">
        <f t="shared" si="0"/>
        <v>239</v>
      </c>
      <c r="E12" s="283"/>
      <c r="F12" s="278"/>
      <c r="G12" s="120"/>
      <c r="H12" s="280"/>
      <c r="I12" s="261"/>
      <c r="J12" s="246"/>
      <c r="K12" s="241"/>
      <c r="L12" s="228"/>
      <c r="M12" s="215"/>
      <c r="N12" s="267">
        <f t="shared" si="1"/>
        <v>239</v>
      </c>
      <c r="O12" s="152"/>
      <c r="P12" s="96">
        <f t="shared" si="2"/>
        <v>239</v>
      </c>
      <c r="Q12" s="97">
        <f t="shared" si="3"/>
        <v>239</v>
      </c>
      <c r="R12" s="215"/>
      <c r="S12" s="201"/>
      <c r="T12" s="192"/>
      <c r="U12" s="183"/>
      <c r="V12" s="168"/>
      <c r="W12" s="50">
        <f>3</f>
        <v>3</v>
      </c>
      <c r="X12" s="50">
        <f>24</f>
        <v>24</v>
      </c>
      <c r="Y12" s="215">
        <f t="shared" si="4"/>
        <v>206</v>
      </c>
      <c r="Z12" s="120">
        <f>6</f>
        <v>6</v>
      </c>
      <c r="AA12" s="96">
        <f t="shared" si="5"/>
        <v>233</v>
      </c>
      <c r="AB12" s="97">
        <f t="shared" si="6"/>
        <v>239</v>
      </c>
      <c r="AC12" s="22"/>
      <c r="AD12" s="50"/>
      <c r="AE12" s="50">
        <f>12</f>
        <v>12</v>
      </c>
      <c r="AF12" s="50">
        <f>162</f>
        <v>162</v>
      </c>
      <c r="AG12" s="50">
        <f>6+6</f>
        <v>12</v>
      </c>
      <c r="AH12" s="50">
        <f t="shared" si="7"/>
        <v>20</v>
      </c>
      <c r="AI12" s="120"/>
      <c r="AJ12" s="96">
        <f t="shared" si="8"/>
        <v>206</v>
      </c>
      <c r="AK12" s="97">
        <f>IF(C12=2011, AJ12/3,AJ12)+AI12</f>
        <v>206</v>
      </c>
      <c r="AL12" s="22"/>
      <c r="AM12" s="13"/>
      <c r="AN12" s="13">
        <v>20</v>
      </c>
      <c r="AO12" s="13"/>
      <c r="AP12" s="13"/>
      <c r="AQ12" s="13"/>
      <c r="AR12" s="13"/>
      <c r="AS12" s="13"/>
      <c r="AT12" s="95"/>
      <c r="AU12" s="96">
        <f t="shared" si="9"/>
        <v>20</v>
      </c>
      <c r="AV12" s="97">
        <f>IF(C12=2010, AU12/3,AU12)+AT12</f>
        <v>20</v>
      </c>
    </row>
    <row r="13" spans="1:48" x14ac:dyDescent="0.25">
      <c r="A13" s="60" t="s">
        <v>221</v>
      </c>
      <c r="B13" s="65" t="s">
        <v>63</v>
      </c>
      <c r="C13" s="62">
        <v>2005</v>
      </c>
      <c r="D13" s="1">
        <f t="shared" si="0"/>
        <v>268</v>
      </c>
      <c r="E13" s="156"/>
      <c r="F13" s="156"/>
      <c r="H13" s="280"/>
      <c r="I13" s="156">
        <f>15</f>
        <v>15</v>
      </c>
      <c r="J13" s="156"/>
      <c r="K13" s="156"/>
      <c r="L13" s="156"/>
      <c r="M13" s="156"/>
      <c r="N13" s="267">
        <f t="shared" si="1"/>
        <v>253</v>
      </c>
      <c r="O13" s="120"/>
      <c r="P13" s="96">
        <f t="shared" si="2"/>
        <v>268</v>
      </c>
      <c r="Q13" s="97">
        <f t="shared" si="3"/>
        <v>268</v>
      </c>
      <c r="R13" s="156"/>
      <c r="S13" s="201"/>
      <c r="T13" s="192"/>
      <c r="U13" s="183"/>
      <c r="V13" s="168"/>
      <c r="W13" s="50"/>
      <c r="X13" s="50"/>
      <c r="Y13" s="215">
        <f t="shared" si="4"/>
        <v>253</v>
      </c>
      <c r="Z13" s="120"/>
      <c r="AA13" s="96">
        <f t="shared" si="5"/>
        <v>253</v>
      </c>
      <c r="AB13" s="97">
        <f t="shared" si="6"/>
        <v>253</v>
      </c>
      <c r="AC13" s="22"/>
      <c r="AD13" s="50"/>
      <c r="AE13" s="50"/>
      <c r="AF13" s="50"/>
      <c r="AG13" s="50">
        <f>9+3+3+3</f>
        <v>18</v>
      </c>
      <c r="AH13" s="50">
        <f t="shared" si="7"/>
        <v>235</v>
      </c>
      <c r="AI13" s="120"/>
      <c r="AJ13" s="96">
        <f t="shared" si="8"/>
        <v>253</v>
      </c>
      <c r="AK13" s="97">
        <f t="shared" ref="AK13:AK18" si="10">IF(C13=2007, AJ13/3,AJ13)+AI13</f>
        <v>253</v>
      </c>
      <c r="AL13" s="22"/>
      <c r="AN13" s="26">
        <v>0</v>
      </c>
      <c r="AP13" s="26">
        <f>3</f>
        <v>3</v>
      </c>
      <c r="AR13" s="26">
        <f>0+3+6</f>
        <v>9</v>
      </c>
      <c r="AS13" s="26">
        <f>223</f>
        <v>223</v>
      </c>
      <c r="AT13" s="95"/>
      <c r="AU13" s="96">
        <f t="shared" si="9"/>
        <v>235</v>
      </c>
      <c r="AV13" s="97">
        <f>IF(C13=2006, AU13/3,AU13)+AT13</f>
        <v>235</v>
      </c>
    </row>
    <row r="14" spans="1:48" s="3" customFormat="1" x14ac:dyDescent="0.25">
      <c r="A14" s="11" t="s">
        <v>283</v>
      </c>
      <c r="B14" s="19" t="s">
        <v>36</v>
      </c>
      <c r="C14" s="3">
        <v>2006</v>
      </c>
      <c r="D14" s="1">
        <f t="shared" si="0"/>
        <v>276</v>
      </c>
      <c r="E14" s="283"/>
      <c r="F14" s="278"/>
      <c r="G14" s="120"/>
      <c r="H14" s="280"/>
      <c r="I14" s="261"/>
      <c r="J14" s="246"/>
      <c r="K14" s="241"/>
      <c r="L14" s="228"/>
      <c r="M14" s="215"/>
      <c r="N14" s="267">
        <f t="shared" si="1"/>
        <v>276</v>
      </c>
      <c r="O14" s="120"/>
      <c r="P14" s="96">
        <f t="shared" si="2"/>
        <v>276</v>
      </c>
      <c r="Q14" s="97">
        <f t="shared" si="3"/>
        <v>276</v>
      </c>
      <c r="R14" s="215"/>
      <c r="S14" s="201"/>
      <c r="T14" s="192"/>
      <c r="U14" s="183"/>
      <c r="V14" s="168">
        <f>6</f>
        <v>6</v>
      </c>
      <c r="W14" s="50">
        <f>12+12</f>
        <v>24</v>
      </c>
      <c r="X14" s="50"/>
      <c r="Y14" s="215">
        <f t="shared" si="4"/>
        <v>246</v>
      </c>
      <c r="Z14" s="120"/>
      <c r="AA14" s="96">
        <f t="shared" si="5"/>
        <v>276</v>
      </c>
      <c r="AB14" s="97">
        <f t="shared" si="6"/>
        <v>276</v>
      </c>
      <c r="AC14" s="22"/>
      <c r="AD14" s="50"/>
      <c r="AE14" s="50"/>
      <c r="AF14" s="50">
        <f>0</f>
        <v>0</v>
      </c>
      <c r="AG14" s="50">
        <f>6</f>
        <v>6</v>
      </c>
      <c r="AH14" s="50">
        <f t="shared" si="7"/>
        <v>240</v>
      </c>
      <c r="AI14" s="120"/>
      <c r="AJ14" s="96">
        <f t="shared" si="8"/>
        <v>246</v>
      </c>
      <c r="AK14" s="97">
        <f t="shared" si="10"/>
        <v>246</v>
      </c>
      <c r="AL14" s="22"/>
      <c r="AM14" s="13"/>
      <c r="AN14" s="13"/>
      <c r="AO14" s="13">
        <f>12+3</f>
        <v>15</v>
      </c>
      <c r="AP14" s="13">
        <f>36+18</f>
        <v>54</v>
      </c>
      <c r="AQ14" s="13">
        <f>6+3</f>
        <v>9</v>
      </c>
      <c r="AR14" s="13">
        <f>6+12</f>
        <v>18</v>
      </c>
      <c r="AS14" s="13">
        <f>624</f>
        <v>624</v>
      </c>
      <c r="AT14" s="95"/>
      <c r="AU14" s="96">
        <f t="shared" si="9"/>
        <v>720</v>
      </c>
      <c r="AV14" s="97">
        <f>IF(C14=2006, AU14/3,AU14)+AT14</f>
        <v>240</v>
      </c>
    </row>
    <row r="15" spans="1:48" x14ac:dyDescent="0.25">
      <c r="A15" s="60" t="s">
        <v>374</v>
      </c>
      <c r="B15" s="65" t="s">
        <v>36</v>
      </c>
      <c r="C15" s="62">
        <v>2005</v>
      </c>
      <c r="D15" s="1">
        <f t="shared" si="0"/>
        <v>726</v>
      </c>
      <c r="N15" s="267">
        <f t="shared" si="1"/>
        <v>726</v>
      </c>
      <c r="O15" s="120"/>
      <c r="P15" s="96">
        <f t="shared" si="2"/>
        <v>726</v>
      </c>
      <c r="Q15" s="97">
        <f t="shared" si="3"/>
        <v>726</v>
      </c>
      <c r="S15" s="201"/>
      <c r="T15" s="192"/>
      <c r="U15" s="183"/>
      <c r="V15" s="168">
        <f>9+6</f>
        <v>15</v>
      </c>
      <c r="W15" s="50">
        <f>33+12+12</f>
        <v>57</v>
      </c>
      <c r="X15" s="50"/>
      <c r="Y15" s="215">
        <f t="shared" si="4"/>
        <v>654</v>
      </c>
      <c r="Z15" s="120"/>
      <c r="AA15" s="96">
        <f t="shared" si="5"/>
        <v>726</v>
      </c>
      <c r="AB15" s="97">
        <f t="shared" si="6"/>
        <v>726</v>
      </c>
      <c r="AC15" s="22"/>
      <c r="AD15" s="50"/>
      <c r="AE15" s="50"/>
      <c r="AF15" s="50">
        <f>18</f>
        <v>18</v>
      </c>
      <c r="AG15" s="50"/>
      <c r="AH15" s="50">
        <f t="shared" si="7"/>
        <v>636</v>
      </c>
      <c r="AI15" s="120"/>
      <c r="AJ15" s="96">
        <f t="shared" si="8"/>
        <v>654</v>
      </c>
      <c r="AK15" s="97">
        <f t="shared" si="10"/>
        <v>654</v>
      </c>
      <c r="AL15" s="22"/>
      <c r="AP15" s="26">
        <f>15+6</f>
        <v>21</v>
      </c>
      <c r="AR15" s="26">
        <f>18</f>
        <v>18</v>
      </c>
      <c r="AS15" s="26">
        <f>597</f>
        <v>597</v>
      </c>
      <c r="AT15" s="95"/>
      <c r="AU15" s="96">
        <f t="shared" si="9"/>
        <v>636</v>
      </c>
      <c r="AV15" s="97">
        <f>IF(C15=2006, AU15/3,AU15)+AT15</f>
        <v>636</v>
      </c>
    </row>
    <row r="16" spans="1:48" x14ac:dyDescent="0.25">
      <c r="A16" s="60" t="s">
        <v>216</v>
      </c>
      <c r="B16" s="65" t="s">
        <v>111</v>
      </c>
      <c r="C16" s="62">
        <v>2004</v>
      </c>
      <c r="D16" s="1">
        <f t="shared" si="0"/>
        <v>286</v>
      </c>
      <c r="H16" s="280"/>
      <c r="N16" s="267">
        <f t="shared" si="1"/>
        <v>286</v>
      </c>
      <c r="O16" s="152"/>
      <c r="P16" s="96">
        <f t="shared" si="2"/>
        <v>286</v>
      </c>
      <c r="Q16" s="97">
        <f t="shared" si="3"/>
        <v>286</v>
      </c>
      <c r="S16" s="201"/>
      <c r="T16" s="192"/>
      <c r="U16" s="183"/>
      <c r="V16" s="168"/>
      <c r="W16" s="50"/>
      <c r="X16" s="50"/>
      <c r="Y16" s="215">
        <f t="shared" si="4"/>
        <v>286</v>
      </c>
      <c r="Z16" s="120"/>
      <c r="AA16" s="96">
        <f t="shared" si="5"/>
        <v>286</v>
      </c>
      <c r="AB16" s="97">
        <f t="shared" si="6"/>
        <v>286</v>
      </c>
      <c r="AC16" s="22"/>
      <c r="AD16" s="50"/>
      <c r="AE16" s="50"/>
      <c r="AF16" s="50"/>
      <c r="AG16" s="50"/>
      <c r="AH16" s="50">
        <f t="shared" si="7"/>
        <v>286</v>
      </c>
      <c r="AI16" s="120"/>
      <c r="AJ16" s="96">
        <f t="shared" si="8"/>
        <v>286</v>
      </c>
      <c r="AK16" s="97">
        <f t="shared" si="10"/>
        <v>286</v>
      </c>
      <c r="AL16" s="22"/>
      <c r="AN16" s="26">
        <f>6+18</f>
        <v>24</v>
      </c>
      <c r="AP16" s="26">
        <f>3</f>
        <v>3</v>
      </c>
      <c r="AS16" s="26">
        <f>259</f>
        <v>259</v>
      </c>
      <c r="AT16" s="95"/>
      <c r="AU16" s="96">
        <f t="shared" si="9"/>
        <v>286</v>
      </c>
      <c r="AV16" s="97">
        <f>IF(C16=2006, AU16/3,AU16)+AT16</f>
        <v>286</v>
      </c>
    </row>
    <row r="17" spans="1:67" s="3" customFormat="1" x14ac:dyDescent="0.25">
      <c r="A17" s="60" t="s">
        <v>361</v>
      </c>
      <c r="B17" s="65" t="s">
        <v>36</v>
      </c>
      <c r="C17" s="62">
        <v>2006</v>
      </c>
      <c r="D17" s="1">
        <f t="shared" si="0"/>
        <v>411.66666666666669</v>
      </c>
      <c r="E17" s="283"/>
      <c r="F17" s="278"/>
      <c r="G17" s="120"/>
      <c r="H17" s="280"/>
      <c r="I17" s="261"/>
      <c r="J17" s="246"/>
      <c r="K17" s="241"/>
      <c r="L17" s="228"/>
      <c r="M17" s="215"/>
      <c r="N17" s="267">
        <f t="shared" si="1"/>
        <v>411.66666666666669</v>
      </c>
      <c r="O17" s="152"/>
      <c r="P17" s="96">
        <f t="shared" si="2"/>
        <v>411.66666666666669</v>
      </c>
      <c r="Q17" s="97">
        <f t="shared" si="3"/>
        <v>411.66666666666669</v>
      </c>
      <c r="R17" s="215"/>
      <c r="S17" s="201"/>
      <c r="T17" s="192"/>
      <c r="U17" s="183"/>
      <c r="V17" s="168">
        <f>9+6+6</f>
        <v>21</v>
      </c>
      <c r="W17" s="50">
        <f>42+18+12+12</f>
        <v>84</v>
      </c>
      <c r="X17" s="50"/>
      <c r="Y17" s="215">
        <f t="shared" si="4"/>
        <v>306.66666666666669</v>
      </c>
      <c r="Z17" s="120"/>
      <c r="AA17" s="96">
        <f t="shared" si="5"/>
        <v>411.66666666666669</v>
      </c>
      <c r="AB17" s="97">
        <f t="shared" si="6"/>
        <v>411.66666666666669</v>
      </c>
      <c r="AC17" s="22"/>
      <c r="AD17" s="50">
        <f>6</f>
        <v>6</v>
      </c>
      <c r="AE17" s="50"/>
      <c r="AF17" s="50"/>
      <c r="AG17" s="50">
        <f>24+6</f>
        <v>30</v>
      </c>
      <c r="AH17" s="50">
        <f t="shared" si="7"/>
        <v>270.66666666666669</v>
      </c>
      <c r="AI17" s="120"/>
      <c r="AJ17" s="96">
        <f t="shared" si="8"/>
        <v>306.66666666666669</v>
      </c>
      <c r="AK17" s="97">
        <f t="shared" si="10"/>
        <v>306.66666666666669</v>
      </c>
      <c r="AL17" s="22"/>
      <c r="AM17" s="13"/>
      <c r="AN17" s="13"/>
      <c r="AO17" s="13"/>
      <c r="AP17" s="13">
        <f>54</f>
        <v>54</v>
      </c>
      <c r="AQ17" s="13">
        <f>0+3</f>
        <v>3</v>
      </c>
      <c r="AR17" s="13">
        <f>12+12</f>
        <v>24</v>
      </c>
      <c r="AS17" s="13">
        <v>731</v>
      </c>
      <c r="AT17" s="95"/>
      <c r="AU17" s="96">
        <f t="shared" si="9"/>
        <v>812</v>
      </c>
      <c r="AV17" s="97">
        <f>IF(C17=2006, AU17/3,AU17)+AT17</f>
        <v>270.66666666666669</v>
      </c>
    </row>
    <row r="18" spans="1:67" x14ac:dyDescent="0.25">
      <c r="A18" s="12" t="s">
        <v>630</v>
      </c>
      <c r="B18" s="12" t="s">
        <v>231</v>
      </c>
      <c r="C18" s="4">
        <v>1995</v>
      </c>
      <c r="D18" s="1">
        <f t="shared" si="0"/>
        <v>273</v>
      </c>
      <c r="H18" s="280"/>
      <c r="N18" s="267">
        <f t="shared" si="1"/>
        <v>273</v>
      </c>
      <c r="O18" s="120"/>
      <c r="P18" s="96">
        <f t="shared" si="2"/>
        <v>273</v>
      </c>
      <c r="Q18" s="97">
        <f t="shared" si="3"/>
        <v>273</v>
      </c>
      <c r="Y18" s="215">
        <f t="shared" si="4"/>
        <v>273</v>
      </c>
      <c r="Z18" s="120"/>
      <c r="AA18" s="96">
        <f t="shared" si="5"/>
        <v>273</v>
      </c>
      <c r="AB18" s="97">
        <f t="shared" si="6"/>
        <v>273</v>
      </c>
      <c r="AF18" s="26">
        <f>48</f>
        <v>48</v>
      </c>
      <c r="AH18" s="26">
        <v>225</v>
      </c>
      <c r="AI18" s="120"/>
      <c r="AJ18" s="96">
        <f t="shared" si="8"/>
        <v>273</v>
      </c>
      <c r="AK18" s="97">
        <f t="shared" si="10"/>
        <v>273</v>
      </c>
    </row>
    <row r="19" spans="1:67" s="3" customFormat="1" x14ac:dyDescent="0.25">
      <c r="A19" s="60" t="s">
        <v>354</v>
      </c>
      <c r="B19" s="65" t="s">
        <v>0</v>
      </c>
      <c r="C19" s="62">
        <v>2008</v>
      </c>
      <c r="D19" s="1">
        <f t="shared" si="0"/>
        <v>575</v>
      </c>
      <c r="E19" s="283">
        <f>39</f>
        <v>39</v>
      </c>
      <c r="F19" s="278"/>
      <c r="G19" s="120"/>
      <c r="H19" s="280"/>
      <c r="I19" s="261">
        <f>39</f>
        <v>39</v>
      </c>
      <c r="J19" s="246">
        <f>42</f>
        <v>42</v>
      </c>
      <c r="K19" s="241"/>
      <c r="L19" s="228">
        <f>18</f>
        <v>18</v>
      </c>
      <c r="M19" s="215"/>
      <c r="N19" s="267">
        <f t="shared" si="1"/>
        <v>437</v>
      </c>
      <c r="O19" s="120"/>
      <c r="P19" s="96">
        <f t="shared" si="2"/>
        <v>536</v>
      </c>
      <c r="Q19" s="97">
        <f t="shared" si="3"/>
        <v>536</v>
      </c>
      <c r="R19" s="215"/>
      <c r="S19" s="201">
        <f>6</f>
        <v>6</v>
      </c>
      <c r="T19" s="192"/>
      <c r="U19" s="183"/>
      <c r="V19" s="168">
        <f>12</f>
        <v>12</v>
      </c>
      <c r="W19" s="50">
        <f>33+6</f>
        <v>39</v>
      </c>
      <c r="X19" s="50">
        <f>39+3</f>
        <v>42</v>
      </c>
      <c r="Y19" s="215">
        <f t="shared" si="4"/>
        <v>1176</v>
      </c>
      <c r="Z19" s="120">
        <f>3+9</f>
        <v>12</v>
      </c>
      <c r="AA19" s="96">
        <f t="shared" si="5"/>
        <v>1275</v>
      </c>
      <c r="AB19" s="97">
        <f t="shared" si="6"/>
        <v>437</v>
      </c>
      <c r="AC19" s="22"/>
      <c r="AD19" s="50">
        <f>3</f>
        <v>3</v>
      </c>
      <c r="AE19" s="50">
        <f>21</f>
        <v>21</v>
      </c>
      <c r="AF19" s="50">
        <f>261</f>
        <v>261</v>
      </c>
      <c r="AG19" s="50"/>
      <c r="AH19" s="50">
        <f>AV19</f>
        <v>891</v>
      </c>
      <c r="AI19" s="120"/>
      <c r="AJ19" s="96">
        <f t="shared" si="8"/>
        <v>1176</v>
      </c>
      <c r="AK19" s="97">
        <f>IF(C19=2011, AJ19/3,AJ19)+AI19</f>
        <v>1176</v>
      </c>
      <c r="AL19" s="22"/>
      <c r="AM19" s="13"/>
      <c r="AN19" s="13"/>
      <c r="AO19" s="13"/>
      <c r="AP19" s="13">
        <f>48</f>
        <v>48</v>
      </c>
      <c r="AQ19" s="13">
        <f>18+6</f>
        <v>24</v>
      </c>
      <c r="AR19" s="13">
        <f>90+3</f>
        <v>93</v>
      </c>
      <c r="AS19" s="13">
        <v>726</v>
      </c>
      <c r="AT19" s="95"/>
      <c r="AU19" s="96">
        <f>SUM(AM19:AS19)</f>
        <v>891</v>
      </c>
      <c r="AV19" s="97">
        <f>IF(C19=2010, AU19/3,AU19)+AT19</f>
        <v>891</v>
      </c>
    </row>
    <row r="20" spans="1:67" s="3" customFormat="1" x14ac:dyDescent="0.25">
      <c r="A20" s="60" t="s">
        <v>146</v>
      </c>
      <c r="B20" s="65" t="s">
        <v>63</v>
      </c>
      <c r="C20" s="62">
        <v>2008</v>
      </c>
      <c r="D20" s="1">
        <f t="shared" si="0"/>
        <v>239.66666666666666</v>
      </c>
      <c r="E20" s="154"/>
      <c r="F20" s="154"/>
      <c r="G20" s="120"/>
      <c r="H20" s="280"/>
      <c r="I20" s="261"/>
      <c r="J20" s="246"/>
      <c r="K20" s="241"/>
      <c r="L20" s="228"/>
      <c r="M20" s="215"/>
      <c r="N20" s="267">
        <f t="shared" si="1"/>
        <v>239.66666666666666</v>
      </c>
      <c r="O20" s="120"/>
      <c r="P20" s="96">
        <f t="shared" si="2"/>
        <v>239.66666666666666</v>
      </c>
      <c r="Q20" s="97">
        <f t="shared" si="3"/>
        <v>239.66666666666666</v>
      </c>
      <c r="R20" s="215"/>
      <c r="S20" s="201"/>
      <c r="T20" s="192"/>
      <c r="U20" s="183"/>
      <c r="V20" s="168">
        <f>9</f>
        <v>9</v>
      </c>
      <c r="W20" s="50">
        <f>9</f>
        <v>9</v>
      </c>
      <c r="X20" s="50"/>
      <c r="Y20" s="215">
        <f t="shared" si="4"/>
        <v>701</v>
      </c>
      <c r="Z20" s="120"/>
      <c r="AA20" s="96">
        <f t="shared" si="5"/>
        <v>719</v>
      </c>
      <c r="AB20" s="97">
        <f t="shared" si="6"/>
        <v>239.66666666666666</v>
      </c>
      <c r="AC20" s="22"/>
      <c r="AD20" s="50"/>
      <c r="AE20" s="50">
        <f>9</f>
        <v>9</v>
      </c>
      <c r="AF20" s="50">
        <f>186</f>
        <v>186</v>
      </c>
      <c r="AG20" s="50">
        <f>12</f>
        <v>12</v>
      </c>
      <c r="AH20" s="50">
        <f>AV20</f>
        <v>476</v>
      </c>
      <c r="AI20" s="120">
        <f>6+3+3+6</f>
        <v>18</v>
      </c>
      <c r="AJ20" s="96">
        <f t="shared" si="8"/>
        <v>683</v>
      </c>
      <c r="AK20" s="97">
        <f>IF(C20=2011, AJ20/3,AJ20)+AI20</f>
        <v>701</v>
      </c>
      <c r="AL20" s="22"/>
      <c r="AM20" s="13"/>
      <c r="AN20" s="13">
        <v>36</v>
      </c>
      <c r="AO20" s="13"/>
      <c r="AP20" s="13">
        <f>15</f>
        <v>15</v>
      </c>
      <c r="AQ20" s="13">
        <f>12</f>
        <v>12</v>
      </c>
      <c r="AR20" s="13">
        <f>66</f>
        <v>66</v>
      </c>
      <c r="AS20" s="13">
        <f>335</f>
        <v>335</v>
      </c>
      <c r="AT20" s="95">
        <f>3+3+6</f>
        <v>12</v>
      </c>
      <c r="AU20" s="96">
        <f>SUM(AM20:AS20)</f>
        <v>464</v>
      </c>
      <c r="AV20" s="97">
        <f>IF(C20=2010, AU20/3,AU20)+AT20</f>
        <v>476</v>
      </c>
    </row>
    <row r="21" spans="1:67" s="27" customFormat="1" x14ac:dyDescent="0.25">
      <c r="A21" s="328" t="s">
        <v>14</v>
      </c>
      <c r="B21" s="334"/>
      <c r="C21" s="335"/>
      <c r="D21" s="1"/>
      <c r="E21" s="283"/>
      <c r="F21" s="278"/>
      <c r="G21" s="120"/>
      <c r="H21" s="280"/>
      <c r="I21" s="261"/>
      <c r="J21" s="246"/>
      <c r="K21" s="241"/>
      <c r="L21" s="228"/>
      <c r="M21" s="215"/>
      <c r="N21" s="267">
        <f t="shared" ref="N21" si="11">AB21</f>
        <v>0</v>
      </c>
      <c r="O21" s="120"/>
      <c r="P21" s="96">
        <f t="shared" ref="P21" si="12">I21+J21+K21+L21+M21+N21</f>
        <v>0</v>
      </c>
      <c r="Q21" s="97">
        <f t="shared" ref="Q21" si="13">IF(C21=2009, P21/3,P21)+O21</f>
        <v>0</v>
      </c>
      <c r="R21" s="215"/>
      <c r="S21" s="201"/>
      <c r="T21" s="192"/>
      <c r="U21" s="183"/>
      <c r="V21" s="168"/>
      <c r="W21" s="50"/>
      <c r="X21" s="50"/>
      <c r="Y21" s="215">
        <f t="shared" ref="Y21" si="14">AK21</f>
        <v>0</v>
      </c>
      <c r="Z21" s="50"/>
      <c r="AA21" s="96">
        <f t="shared" ref="AA21" si="15">S21+T21+U21+V21+W21+X21+Y21</f>
        <v>0</v>
      </c>
      <c r="AB21" s="97">
        <f t="shared" ref="AB21" si="16">IF(C21=2008, AA21/3,AA21)+Z21</f>
        <v>0</v>
      </c>
      <c r="AC21" s="22"/>
      <c r="AD21" s="50"/>
      <c r="AE21" s="50"/>
      <c r="AF21" s="50"/>
      <c r="AG21" s="50"/>
      <c r="AH21" s="50"/>
      <c r="AI21" s="50"/>
      <c r="AJ21" s="68"/>
      <c r="AK21" s="97">
        <f t="shared" ref="AK21" si="17">IF(C21=2007, AJ21/3,AJ21)+AI21</f>
        <v>0</v>
      </c>
      <c r="AL21" s="22"/>
      <c r="AM21" s="22"/>
      <c r="AN21" s="22"/>
      <c r="AO21" s="22"/>
      <c r="AP21" s="22"/>
      <c r="AQ21" s="22"/>
      <c r="AR21" s="22"/>
      <c r="AS21" s="22"/>
      <c r="AT21" s="68"/>
      <c r="AU21" s="68"/>
      <c r="AV21" s="68"/>
    </row>
    <row r="22" spans="1:67" s="3" customFormat="1" x14ac:dyDescent="0.25">
      <c r="A22" s="11" t="s">
        <v>358</v>
      </c>
      <c r="B22" s="83" t="s">
        <v>63</v>
      </c>
      <c r="C22" s="17">
        <v>2009</v>
      </c>
      <c r="D22" s="1">
        <f t="shared" ref="D22:D85" si="18">Q22+F22+E22</f>
        <v>9.3333333333333339</v>
      </c>
      <c r="E22" s="283"/>
      <c r="F22" s="278"/>
      <c r="G22" s="120"/>
      <c r="H22" s="13"/>
      <c r="I22" s="261"/>
      <c r="J22" s="246"/>
      <c r="K22" s="241"/>
      <c r="L22" s="228"/>
      <c r="M22" s="215"/>
      <c r="N22" s="267">
        <f t="shared" ref="N22:N85" si="19">AB22</f>
        <v>28</v>
      </c>
      <c r="O22" s="120"/>
      <c r="P22" s="96">
        <f t="shared" ref="P22:P85" si="20">I22+J22+K22+L22+M22+N22</f>
        <v>28</v>
      </c>
      <c r="Q22" s="97">
        <f t="shared" ref="Q22:Q85" si="21">IF(C22=2009, P22/3,P22)+O22</f>
        <v>9.3333333333333339</v>
      </c>
      <c r="R22" s="215"/>
      <c r="S22" s="267"/>
      <c r="T22" s="267"/>
      <c r="U22" s="267"/>
      <c r="V22" s="267"/>
      <c r="W22" s="267"/>
      <c r="X22" s="267"/>
      <c r="Y22" s="228">
        <f t="shared" ref="Y22:Y36" si="22">AK22</f>
        <v>28</v>
      </c>
      <c r="Z22" s="120"/>
      <c r="AA22" s="96">
        <f t="shared" ref="AA22:AA36" si="23">S22+T22+U22+V22+W22+X22+Y22</f>
        <v>28</v>
      </c>
      <c r="AB22" s="97">
        <f>IF(C22=2012, AA22/3,AA22)+Z22</f>
        <v>28</v>
      </c>
      <c r="AC22" s="22"/>
      <c r="AD22" s="267"/>
      <c r="AE22" s="267"/>
      <c r="AF22" s="267">
        <f>12</f>
        <v>12</v>
      </c>
      <c r="AG22" s="267"/>
      <c r="AH22" s="267">
        <f>AV22</f>
        <v>16</v>
      </c>
      <c r="AI22" s="120"/>
      <c r="AJ22" s="96">
        <f>SUM(AD22:AH22)</f>
        <v>28</v>
      </c>
      <c r="AK22" s="97">
        <f>IF(C22=2011, AJ22/3,AJ22)+AI22</f>
        <v>28</v>
      </c>
      <c r="AL22" s="22"/>
      <c r="AM22" s="22"/>
      <c r="AN22" s="22"/>
      <c r="AO22" s="22"/>
      <c r="AP22" s="13">
        <f>0</f>
        <v>0</v>
      </c>
      <c r="AQ22" s="13"/>
      <c r="AR22" s="13"/>
      <c r="AS22" s="13">
        <f>16</f>
        <v>16</v>
      </c>
      <c r="AT22" s="95"/>
      <c r="AU22" s="96">
        <f>SUM(AM22:AS22)</f>
        <v>16</v>
      </c>
      <c r="AV22" s="97">
        <f>IF(C22=2010, AU22/3,AU22)+AT22</f>
        <v>16</v>
      </c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</row>
    <row r="23" spans="1:67" s="3" customFormat="1" x14ac:dyDescent="0.25">
      <c r="A23" s="60" t="s">
        <v>195</v>
      </c>
      <c r="B23" s="65" t="s">
        <v>87</v>
      </c>
      <c r="C23" s="62">
        <v>2007</v>
      </c>
      <c r="D23" s="1">
        <f t="shared" si="18"/>
        <v>1</v>
      </c>
      <c r="E23" s="154"/>
      <c r="F23" s="154"/>
      <c r="G23" s="120"/>
      <c r="H23" s="280"/>
      <c r="I23" s="154"/>
      <c r="J23" s="154"/>
      <c r="K23" s="154"/>
      <c r="L23" s="154"/>
      <c r="M23" s="154"/>
      <c r="N23" s="267">
        <f t="shared" si="19"/>
        <v>1</v>
      </c>
      <c r="O23" s="122"/>
      <c r="P23" s="96">
        <f t="shared" si="20"/>
        <v>1</v>
      </c>
      <c r="Q23" s="97">
        <f t="shared" si="21"/>
        <v>1</v>
      </c>
      <c r="R23" s="154"/>
      <c r="S23" s="228"/>
      <c r="T23" s="228"/>
      <c r="U23" s="228"/>
      <c r="V23" s="228"/>
      <c r="W23" s="228"/>
      <c r="X23" s="228"/>
      <c r="Y23" s="228">
        <f t="shared" si="22"/>
        <v>1</v>
      </c>
      <c r="Z23" s="120"/>
      <c r="AA23" s="96">
        <f t="shared" si="23"/>
        <v>1</v>
      </c>
      <c r="AB23" s="97">
        <f>IF(C23=2008, AA23/3,AA23)+Z23</f>
        <v>1</v>
      </c>
      <c r="AC23" s="22"/>
      <c r="AD23" s="228"/>
      <c r="AE23" s="228"/>
      <c r="AF23" s="228"/>
      <c r="AG23" s="228"/>
      <c r="AH23" s="228">
        <f>AV23</f>
        <v>3</v>
      </c>
      <c r="AI23" s="120"/>
      <c r="AJ23" s="96">
        <f>SUM(AD23:AH23)</f>
        <v>3</v>
      </c>
      <c r="AK23" s="97">
        <f>IF(C23=2007, AJ23/3,AJ23)+AI23</f>
        <v>1</v>
      </c>
      <c r="AL23" s="22"/>
      <c r="AM23" s="13"/>
      <c r="AN23" s="13">
        <f>3</f>
        <v>3</v>
      </c>
      <c r="AO23" s="13"/>
      <c r="AP23" s="13"/>
      <c r="AQ23" s="13"/>
      <c r="AR23" s="13"/>
      <c r="AS23" s="13"/>
      <c r="AT23" s="95"/>
      <c r="AU23" s="96">
        <f>SUM(AM23:AS23)</f>
        <v>3</v>
      </c>
      <c r="AV23" s="97">
        <f>IF(C23=2010, AU23/3,AU23)+AT23</f>
        <v>3</v>
      </c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</row>
    <row r="24" spans="1:67" s="3" customFormat="1" x14ac:dyDescent="0.25">
      <c r="A24" s="60" t="s">
        <v>704</v>
      </c>
      <c r="B24" s="65" t="s">
        <v>705</v>
      </c>
      <c r="C24" s="62">
        <v>2007</v>
      </c>
      <c r="D24" s="1">
        <f t="shared" si="18"/>
        <v>6</v>
      </c>
      <c r="E24" s="283"/>
      <c r="F24" s="278"/>
      <c r="G24" s="120"/>
      <c r="H24" s="280"/>
      <c r="I24" s="261"/>
      <c r="J24" s="246"/>
      <c r="K24" s="241"/>
      <c r="L24" s="228"/>
      <c r="M24" s="215"/>
      <c r="N24" s="267">
        <f t="shared" si="19"/>
        <v>6</v>
      </c>
      <c r="O24" s="120"/>
      <c r="P24" s="96">
        <f t="shared" si="20"/>
        <v>6</v>
      </c>
      <c r="Q24" s="97">
        <f t="shared" si="21"/>
        <v>6</v>
      </c>
      <c r="R24" s="215"/>
      <c r="S24" s="228"/>
      <c r="T24" s="228"/>
      <c r="U24" s="228"/>
      <c r="V24" s="228"/>
      <c r="W24" s="228"/>
      <c r="X24" s="228"/>
      <c r="Y24" s="228">
        <f t="shared" si="22"/>
        <v>6</v>
      </c>
      <c r="Z24" s="120"/>
      <c r="AA24" s="96">
        <f t="shared" si="23"/>
        <v>6</v>
      </c>
      <c r="AB24" s="97">
        <f>IF(C24=2008, AA24/3,AA24)+Z24</f>
        <v>6</v>
      </c>
      <c r="AC24" s="22"/>
      <c r="AD24" s="228"/>
      <c r="AE24" s="228">
        <f>18</f>
        <v>18</v>
      </c>
      <c r="AF24" s="228"/>
      <c r="AG24" s="228"/>
      <c r="AH24" s="228"/>
      <c r="AI24" s="120"/>
      <c r="AJ24" s="96">
        <f>SUM(AD24:AH24)</f>
        <v>18</v>
      </c>
      <c r="AK24" s="97">
        <f>IF(C24=2007, AJ24/3,AJ24)+AI24</f>
        <v>6</v>
      </c>
      <c r="AL24" s="22"/>
      <c r="AM24" s="13"/>
      <c r="AN24" s="13"/>
      <c r="AO24" s="13"/>
      <c r="AP24" s="13"/>
      <c r="AQ24" s="13"/>
      <c r="AR24" s="13"/>
      <c r="AS24" s="13"/>
      <c r="AT24" s="95"/>
      <c r="AU24" s="96"/>
      <c r="AV24" s="9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</row>
    <row r="25" spans="1:67" s="3" customFormat="1" x14ac:dyDescent="0.25">
      <c r="A25" s="60" t="s">
        <v>854</v>
      </c>
      <c r="B25" s="27" t="s">
        <v>629</v>
      </c>
      <c r="C25" s="27">
        <v>2007</v>
      </c>
      <c r="D25" s="1">
        <f t="shared" si="18"/>
        <v>1</v>
      </c>
      <c r="E25" s="283"/>
      <c r="F25" s="278"/>
      <c r="G25" s="120"/>
      <c r="H25" s="280"/>
      <c r="I25" s="261"/>
      <c r="J25" s="246"/>
      <c r="K25" s="241"/>
      <c r="L25" s="228"/>
      <c r="M25" s="215"/>
      <c r="N25" s="267">
        <f t="shared" si="19"/>
        <v>1</v>
      </c>
      <c r="O25" s="120"/>
      <c r="P25" s="96">
        <f t="shared" si="20"/>
        <v>1</v>
      </c>
      <c r="Q25" s="97">
        <f t="shared" si="21"/>
        <v>1</v>
      </c>
      <c r="R25" s="215"/>
      <c r="S25" s="201"/>
      <c r="T25" s="192"/>
      <c r="U25" s="183"/>
      <c r="V25" s="168"/>
      <c r="W25" s="168">
        <f>1</f>
        <v>1</v>
      </c>
      <c r="X25" s="168"/>
      <c r="Y25" s="215">
        <f t="shared" si="22"/>
        <v>0</v>
      </c>
      <c r="Z25" s="267"/>
      <c r="AA25" s="96">
        <f t="shared" si="23"/>
        <v>1</v>
      </c>
      <c r="AB25" s="97">
        <f>IF(C25=2008, AA25/3,AA25)+Z25</f>
        <v>1</v>
      </c>
      <c r="AC25" s="22"/>
      <c r="AD25" s="201"/>
      <c r="AE25" s="168"/>
      <c r="AF25" s="168"/>
      <c r="AG25" s="168"/>
      <c r="AH25" s="168"/>
      <c r="AI25" s="267"/>
      <c r="AJ25" s="68"/>
      <c r="AK25" s="97"/>
      <c r="AL25" s="22"/>
      <c r="AM25" s="268"/>
      <c r="AN25" s="268"/>
      <c r="AO25" s="268"/>
      <c r="AP25" s="268"/>
      <c r="AQ25" s="268"/>
      <c r="AR25" s="268"/>
      <c r="AS25" s="268"/>
      <c r="AT25" s="68"/>
      <c r="AU25" s="68"/>
      <c r="AV25" s="68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</row>
    <row r="26" spans="1:67" s="3" customFormat="1" x14ac:dyDescent="0.25">
      <c r="A26" s="60" t="s">
        <v>650</v>
      </c>
      <c r="B26" s="65" t="s">
        <v>64</v>
      </c>
      <c r="C26" s="62">
        <v>2008</v>
      </c>
      <c r="D26" s="1">
        <f t="shared" si="18"/>
        <v>90</v>
      </c>
      <c r="E26" s="154">
        <f>36</f>
        <v>36</v>
      </c>
      <c r="F26" s="154"/>
      <c r="G26" s="120"/>
      <c r="H26" s="280"/>
      <c r="I26" s="261"/>
      <c r="J26" s="246"/>
      <c r="K26" s="241"/>
      <c r="L26" s="228"/>
      <c r="M26" s="215"/>
      <c r="N26" s="267">
        <f t="shared" si="19"/>
        <v>54</v>
      </c>
      <c r="O26" s="120"/>
      <c r="P26" s="96">
        <f t="shared" si="20"/>
        <v>54</v>
      </c>
      <c r="Q26" s="97">
        <f t="shared" si="21"/>
        <v>54</v>
      </c>
      <c r="R26" s="215"/>
      <c r="S26" s="201"/>
      <c r="T26" s="192"/>
      <c r="U26" s="183"/>
      <c r="V26" s="168"/>
      <c r="W26" s="168">
        <f>27+15</f>
        <v>42</v>
      </c>
      <c r="X26" s="168">
        <f>33+12</f>
        <v>45</v>
      </c>
      <c r="Y26" s="215">
        <f t="shared" si="22"/>
        <v>75</v>
      </c>
      <c r="Z26" s="120"/>
      <c r="AA26" s="96">
        <f t="shared" si="23"/>
        <v>162</v>
      </c>
      <c r="AB26" s="97">
        <f>IF(C26=2008, AA26/3,AA26)+Z26</f>
        <v>54</v>
      </c>
      <c r="AC26" s="22"/>
      <c r="AD26" s="267"/>
      <c r="AE26" s="168"/>
      <c r="AF26" s="168">
        <f>12+63</f>
        <v>75</v>
      </c>
      <c r="AG26" s="168"/>
      <c r="AH26" s="168"/>
      <c r="AI26" s="120"/>
      <c r="AJ26" s="96">
        <f t="shared" ref="AJ26:AJ33" si="24">SUM(AD26:AH26)</f>
        <v>75</v>
      </c>
      <c r="AK26" s="97">
        <f>IF(C26=2011, AJ26/3,AJ26)+AI26</f>
        <v>75</v>
      </c>
      <c r="AL26" s="22"/>
      <c r="AM26" s="267"/>
      <c r="AN26" s="267"/>
      <c r="AO26" s="267"/>
      <c r="AP26" s="267"/>
      <c r="AQ26" s="267"/>
      <c r="AR26" s="267"/>
      <c r="AS26" s="267"/>
      <c r="AT26" s="68"/>
      <c r="AU26" s="68"/>
      <c r="AV26" s="68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</row>
    <row r="27" spans="1:67" s="3" customFormat="1" x14ac:dyDescent="0.25">
      <c r="A27" s="60" t="s">
        <v>515</v>
      </c>
      <c r="B27" s="65" t="s">
        <v>86</v>
      </c>
      <c r="C27" s="62">
        <v>2008</v>
      </c>
      <c r="D27" s="1">
        <f t="shared" si="18"/>
        <v>1</v>
      </c>
      <c r="E27" s="283"/>
      <c r="F27" s="278"/>
      <c r="G27" s="120"/>
      <c r="H27" s="280"/>
      <c r="I27" s="261"/>
      <c r="J27" s="246"/>
      <c r="K27" s="241"/>
      <c r="L27" s="228"/>
      <c r="M27" s="215"/>
      <c r="N27" s="267">
        <f t="shared" si="19"/>
        <v>1</v>
      </c>
      <c r="O27" s="120"/>
      <c r="P27" s="96">
        <f t="shared" si="20"/>
        <v>1</v>
      </c>
      <c r="Q27" s="97">
        <f t="shared" si="21"/>
        <v>1</v>
      </c>
      <c r="R27" s="215"/>
      <c r="S27" s="228"/>
      <c r="T27" s="228"/>
      <c r="U27" s="228"/>
      <c r="V27" s="228"/>
      <c r="W27" s="228"/>
      <c r="X27" s="228"/>
      <c r="Y27" s="228">
        <f t="shared" si="22"/>
        <v>3</v>
      </c>
      <c r="Z27" s="120"/>
      <c r="AA27" s="96">
        <f t="shared" si="23"/>
        <v>3</v>
      </c>
      <c r="AB27" s="97">
        <f>IF(C27=2008, AA27/3,AA27)+Z27</f>
        <v>1</v>
      </c>
      <c r="AC27" s="22"/>
      <c r="AD27" s="228"/>
      <c r="AE27" s="228"/>
      <c r="AF27" s="228"/>
      <c r="AG27" s="228"/>
      <c r="AH27" s="228">
        <f>AV27</f>
        <v>3</v>
      </c>
      <c r="AI27" s="120"/>
      <c r="AJ27" s="96">
        <f t="shared" si="24"/>
        <v>3</v>
      </c>
      <c r="AK27" s="97">
        <f>IF(C27=2011, AJ27/3,AJ27)+AI27</f>
        <v>3</v>
      </c>
      <c r="AL27" s="22"/>
      <c r="AM27" s="13"/>
      <c r="AN27" s="13"/>
      <c r="AO27" s="13"/>
      <c r="AP27" s="13"/>
      <c r="AQ27" s="13"/>
      <c r="AR27" s="13">
        <f>0</f>
        <v>0</v>
      </c>
      <c r="AS27" s="13"/>
      <c r="AT27" s="95">
        <f>3</f>
        <v>3</v>
      </c>
      <c r="AU27" s="96">
        <f>SUM(AM27:AS27)</f>
        <v>0</v>
      </c>
      <c r="AV27" s="97">
        <f>IF(C27=2010, AU27/3,AU27)+AT27</f>
        <v>3</v>
      </c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</row>
    <row r="28" spans="1:67" s="3" customFormat="1" x14ac:dyDescent="0.25">
      <c r="A28" s="60" t="s">
        <v>971</v>
      </c>
      <c r="B28" s="65" t="s">
        <v>938</v>
      </c>
      <c r="C28" s="62">
        <v>2009</v>
      </c>
      <c r="D28" s="1">
        <f t="shared" si="18"/>
        <v>4</v>
      </c>
      <c r="E28" s="283"/>
      <c r="F28" s="278"/>
      <c r="G28" s="120"/>
      <c r="H28" s="280"/>
      <c r="I28" s="261"/>
      <c r="J28" s="246"/>
      <c r="K28" s="241"/>
      <c r="L28" s="241"/>
      <c r="M28" s="241"/>
      <c r="N28" s="267">
        <f t="shared" si="19"/>
        <v>12</v>
      </c>
      <c r="O28" s="120"/>
      <c r="P28" s="96">
        <f t="shared" si="20"/>
        <v>12</v>
      </c>
      <c r="Q28" s="97">
        <f t="shared" si="21"/>
        <v>4</v>
      </c>
      <c r="R28" s="241"/>
      <c r="S28" s="241"/>
      <c r="T28" s="241">
        <f>10+2</f>
        <v>12</v>
      </c>
      <c r="U28" s="241"/>
      <c r="V28" s="241"/>
      <c r="W28" s="241"/>
      <c r="X28" s="241"/>
      <c r="Y28" s="241">
        <f t="shared" si="22"/>
        <v>0</v>
      </c>
      <c r="Z28" s="120"/>
      <c r="AA28" s="96">
        <f t="shared" si="23"/>
        <v>12</v>
      </c>
      <c r="AB28" s="97">
        <f>IF(C28=2012, AA28/3,AA28)+Z28</f>
        <v>12</v>
      </c>
      <c r="AC28" s="22"/>
      <c r="AD28" s="241"/>
      <c r="AE28" s="241"/>
      <c r="AF28" s="241"/>
      <c r="AG28" s="241"/>
      <c r="AH28" s="241"/>
      <c r="AI28" s="120"/>
      <c r="AJ28" s="96">
        <f t="shared" si="24"/>
        <v>0</v>
      </c>
      <c r="AK28" s="97">
        <f>IF(C28=2011, AJ28/3,AJ28)+AI28</f>
        <v>0</v>
      </c>
      <c r="AL28" s="22"/>
      <c r="AM28" s="13"/>
      <c r="AN28" s="13"/>
      <c r="AO28" s="13"/>
      <c r="AP28" s="13"/>
      <c r="AQ28" s="13"/>
      <c r="AR28" s="13"/>
      <c r="AS28" s="13"/>
      <c r="AT28" s="95"/>
      <c r="AU28" s="96"/>
      <c r="AV28" s="9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</row>
    <row r="29" spans="1:67" s="3" customFormat="1" x14ac:dyDescent="0.25">
      <c r="A29" s="60" t="s">
        <v>493</v>
      </c>
      <c r="B29" s="65" t="s">
        <v>36</v>
      </c>
      <c r="C29" s="62">
        <v>2009</v>
      </c>
      <c r="D29" s="1">
        <f t="shared" si="18"/>
        <v>42.333333333333336</v>
      </c>
      <c r="E29" s="283"/>
      <c r="F29" s="278"/>
      <c r="G29" s="120"/>
      <c r="H29" s="280"/>
      <c r="I29" s="261"/>
      <c r="J29" s="246"/>
      <c r="K29" s="241"/>
      <c r="L29" s="228"/>
      <c r="M29" s="215"/>
      <c r="N29" s="267">
        <f t="shared" si="19"/>
        <v>127</v>
      </c>
      <c r="O29" s="120"/>
      <c r="P29" s="96">
        <f t="shared" si="20"/>
        <v>127</v>
      </c>
      <c r="Q29" s="97">
        <f t="shared" si="21"/>
        <v>42.333333333333336</v>
      </c>
      <c r="R29" s="215"/>
      <c r="S29" s="228"/>
      <c r="T29" s="228"/>
      <c r="U29" s="228"/>
      <c r="V29" s="228"/>
      <c r="W29" s="228"/>
      <c r="X29" s="228"/>
      <c r="Y29" s="228">
        <f t="shared" si="22"/>
        <v>127</v>
      </c>
      <c r="Z29" s="120"/>
      <c r="AA29" s="96">
        <f t="shared" si="23"/>
        <v>127</v>
      </c>
      <c r="AB29" s="97">
        <f>IF(C29=2012, AA29/3,AA29)+Z29</f>
        <v>127</v>
      </c>
      <c r="AC29" s="22"/>
      <c r="AD29" s="231"/>
      <c r="AE29" s="228">
        <f>17+15</f>
        <v>32</v>
      </c>
      <c r="AF29" s="228">
        <f>22+16</f>
        <v>38</v>
      </c>
      <c r="AG29" s="228">
        <f>16+9</f>
        <v>25</v>
      </c>
      <c r="AH29" s="228">
        <f>AV29</f>
        <v>32</v>
      </c>
      <c r="AI29" s="120"/>
      <c r="AJ29" s="96">
        <f t="shared" si="24"/>
        <v>127</v>
      </c>
      <c r="AK29" s="97">
        <f>IF(C29=2011, AJ29/3,AJ29)+AI29</f>
        <v>127</v>
      </c>
      <c r="AL29" s="22"/>
      <c r="AM29" s="13"/>
      <c r="AN29" s="13"/>
      <c r="AO29" s="13"/>
      <c r="AP29" s="13"/>
      <c r="AQ29" s="13"/>
      <c r="AR29" s="13">
        <f>16+12+4</f>
        <v>32</v>
      </c>
      <c r="AS29" s="13"/>
      <c r="AT29" s="95"/>
      <c r="AU29" s="96">
        <f>SUM(AM29:AS29)</f>
        <v>32</v>
      </c>
      <c r="AV29" s="97">
        <f>IF(C29=2010, AU29/3,AU29)+AT29</f>
        <v>32</v>
      </c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</row>
    <row r="30" spans="1:67" s="3" customFormat="1" x14ac:dyDescent="0.25">
      <c r="A30" s="60" t="s">
        <v>516</v>
      </c>
      <c r="B30" s="65" t="s">
        <v>86</v>
      </c>
      <c r="C30" s="62">
        <v>2008</v>
      </c>
      <c r="D30" s="1">
        <f t="shared" si="18"/>
        <v>1</v>
      </c>
      <c r="E30" s="283"/>
      <c r="F30" s="278"/>
      <c r="G30" s="120"/>
      <c r="H30" s="280"/>
      <c r="I30" s="267"/>
      <c r="J30" s="267"/>
      <c r="K30" s="267"/>
      <c r="L30" s="267"/>
      <c r="M30" s="267"/>
      <c r="N30" s="267">
        <f t="shared" si="19"/>
        <v>1</v>
      </c>
      <c r="O30" s="120"/>
      <c r="P30" s="96">
        <f t="shared" si="20"/>
        <v>1</v>
      </c>
      <c r="Q30" s="97">
        <f t="shared" si="21"/>
        <v>1</v>
      </c>
      <c r="R30" s="267"/>
      <c r="S30" s="228"/>
      <c r="T30" s="228"/>
      <c r="U30" s="228"/>
      <c r="V30" s="228"/>
      <c r="W30" s="228"/>
      <c r="X30" s="228"/>
      <c r="Y30" s="228">
        <f t="shared" si="22"/>
        <v>3</v>
      </c>
      <c r="Z30" s="120"/>
      <c r="AA30" s="96">
        <f t="shared" si="23"/>
        <v>3</v>
      </c>
      <c r="AB30" s="97">
        <f t="shared" ref="AB30:AB36" si="25">IF(C30=2008, AA30/3,AA30)+Z30</f>
        <v>1</v>
      </c>
      <c r="AC30" s="22"/>
      <c r="AD30" s="231"/>
      <c r="AE30" s="228"/>
      <c r="AF30" s="228"/>
      <c r="AG30" s="228"/>
      <c r="AH30" s="228">
        <f>AV30</f>
        <v>3</v>
      </c>
      <c r="AI30" s="120"/>
      <c r="AJ30" s="96">
        <f t="shared" si="24"/>
        <v>3</v>
      </c>
      <c r="AK30" s="97">
        <f>IF(C30=2011, AJ30/3,AJ30)+AI30</f>
        <v>3</v>
      </c>
      <c r="AL30" s="22"/>
      <c r="AM30" s="13"/>
      <c r="AN30" s="13"/>
      <c r="AO30" s="13"/>
      <c r="AP30" s="13"/>
      <c r="AQ30" s="13"/>
      <c r="AR30" s="13">
        <f>0</f>
        <v>0</v>
      </c>
      <c r="AS30" s="13"/>
      <c r="AT30" s="95">
        <f>3</f>
        <v>3</v>
      </c>
      <c r="AU30" s="96">
        <f>SUM(AM30:AS30)</f>
        <v>0</v>
      </c>
      <c r="AV30" s="97">
        <f>IF(C30=2010, AU30/3,AU30)+AT30</f>
        <v>3</v>
      </c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</row>
    <row r="31" spans="1:67" s="3" customFormat="1" x14ac:dyDescent="0.25">
      <c r="A31" s="60" t="s">
        <v>287</v>
      </c>
      <c r="B31" s="60" t="s">
        <v>1336</v>
      </c>
      <c r="C31" s="62">
        <v>2006</v>
      </c>
      <c r="D31" s="1">
        <f t="shared" si="18"/>
        <v>93</v>
      </c>
      <c r="E31" s="283">
        <f>24+3</f>
        <v>27</v>
      </c>
      <c r="F31" s="278">
        <f>6</f>
        <v>6</v>
      </c>
      <c r="G31" s="120"/>
      <c r="H31" s="13"/>
      <c r="I31" s="261">
        <f>33</f>
        <v>33</v>
      </c>
      <c r="J31" s="246"/>
      <c r="K31" s="241"/>
      <c r="L31" s="228">
        <f>15</f>
        <v>15</v>
      </c>
      <c r="M31" s="215">
        <f>3</f>
        <v>3</v>
      </c>
      <c r="N31" s="267">
        <f t="shared" si="19"/>
        <v>9</v>
      </c>
      <c r="O31" s="120"/>
      <c r="P31" s="96">
        <f t="shared" si="20"/>
        <v>60</v>
      </c>
      <c r="Q31" s="97">
        <f t="shared" si="21"/>
        <v>60</v>
      </c>
      <c r="R31" s="215"/>
      <c r="S31" s="228"/>
      <c r="T31" s="228"/>
      <c r="U31" s="228"/>
      <c r="V31" s="228"/>
      <c r="W31" s="228"/>
      <c r="X31" s="228">
        <f>6</f>
        <v>6</v>
      </c>
      <c r="Y31" s="228">
        <f t="shared" si="22"/>
        <v>3</v>
      </c>
      <c r="Z31" s="120"/>
      <c r="AA31" s="96">
        <f t="shared" si="23"/>
        <v>9</v>
      </c>
      <c r="AB31" s="97">
        <f t="shared" si="25"/>
        <v>9</v>
      </c>
      <c r="AC31" s="22"/>
      <c r="AD31" s="252">
        <f>3</f>
        <v>3</v>
      </c>
      <c r="AE31" s="228"/>
      <c r="AF31" s="228"/>
      <c r="AG31" s="228"/>
      <c r="AH31" s="228">
        <f>AV31</f>
        <v>0</v>
      </c>
      <c r="AI31" s="120"/>
      <c r="AJ31" s="96">
        <f t="shared" si="24"/>
        <v>3</v>
      </c>
      <c r="AK31" s="97">
        <f>IF(C31=2007, AJ31/3,AJ31)+AI31</f>
        <v>3</v>
      </c>
      <c r="AL31" s="22"/>
      <c r="AM31" s="267"/>
      <c r="AN31" s="267"/>
      <c r="AO31" s="267">
        <f>0</f>
        <v>0</v>
      </c>
      <c r="AP31" s="267"/>
      <c r="AQ31" s="267"/>
      <c r="AR31" s="267"/>
      <c r="AS31" s="267"/>
      <c r="AT31" s="95"/>
      <c r="AU31" s="96">
        <f>SUM(AM31:AS31)</f>
        <v>0</v>
      </c>
      <c r="AV31" s="97">
        <f>IF(C31=2006, AU31/3,AU31)+AT31</f>
        <v>0</v>
      </c>
    </row>
    <row r="32" spans="1:67" s="3" customFormat="1" x14ac:dyDescent="0.25">
      <c r="A32" s="60" t="s">
        <v>518</v>
      </c>
      <c r="B32" s="65" t="s">
        <v>519</v>
      </c>
      <c r="C32" s="62">
        <v>2005</v>
      </c>
      <c r="D32" s="1">
        <f t="shared" si="18"/>
        <v>9</v>
      </c>
      <c r="E32" s="283"/>
      <c r="F32" s="278"/>
      <c r="G32" s="120"/>
      <c r="H32" s="280"/>
      <c r="I32" s="261"/>
      <c r="J32" s="246"/>
      <c r="K32" s="241"/>
      <c r="L32" s="228"/>
      <c r="M32" s="215"/>
      <c r="N32" s="267">
        <f t="shared" si="19"/>
        <v>9</v>
      </c>
      <c r="O32" s="120"/>
      <c r="P32" s="96">
        <f t="shared" si="20"/>
        <v>9</v>
      </c>
      <c r="Q32" s="97">
        <f t="shared" si="21"/>
        <v>9</v>
      </c>
      <c r="R32" s="215"/>
      <c r="S32" s="201"/>
      <c r="T32" s="201"/>
      <c r="U32" s="201"/>
      <c r="V32" s="201"/>
      <c r="W32" s="201"/>
      <c r="X32" s="201"/>
      <c r="Y32" s="215">
        <f t="shared" si="22"/>
        <v>9</v>
      </c>
      <c r="Z32" s="120"/>
      <c r="AA32" s="96">
        <f t="shared" si="23"/>
        <v>9</v>
      </c>
      <c r="AB32" s="97">
        <f t="shared" si="25"/>
        <v>9</v>
      </c>
      <c r="AC32" s="22"/>
      <c r="AD32" s="231"/>
      <c r="AE32" s="201"/>
      <c r="AF32" s="201"/>
      <c r="AG32" s="201"/>
      <c r="AH32" s="201">
        <f>AV32</f>
        <v>9</v>
      </c>
      <c r="AI32" s="120"/>
      <c r="AJ32" s="96">
        <f t="shared" si="24"/>
        <v>9</v>
      </c>
      <c r="AK32" s="97">
        <f>IF(C32=2007, AJ32/3,AJ32)+AI32</f>
        <v>9</v>
      </c>
      <c r="AL32" s="22"/>
      <c r="AM32" s="268"/>
      <c r="AN32" s="268"/>
      <c r="AO32" s="268"/>
      <c r="AP32" s="268"/>
      <c r="AQ32" s="268"/>
      <c r="AR32" s="268">
        <f>9</f>
        <v>9</v>
      </c>
      <c r="AS32" s="268"/>
      <c r="AT32" s="95"/>
      <c r="AU32" s="96">
        <f>SUM(AM32:AS32)</f>
        <v>9</v>
      </c>
      <c r="AV32" s="97">
        <f>IF(C32=2006, AU32/3,AU32)+AT32</f>
        <v>9</v>
      </c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</row>
    <row r="33" spans="1:67" s="3" customFormat="1" x14ac:dyDescent="0.25">
      <c r="A33" s="11" t="s">
        <v>651</v>
      </c>
      <c r="B33" s="83" t="s">
        <v>7</v>
      </c>
      <c r="C33" s="17">
        <v>2008</v>
      </c>
      <c r="D33" s="1">
        <f t="shared" si="18"/>
        <v>6.666666666666667</v>
      </c>
      <c r="E33" s="283"/>
      <c r="F33" s="278"/>
      <c r="G33" s="120"/>
      <c r="H33" s="280"/>
      <c r="I33" s="267"/>
      <c r="J33" s="267"/>
      <c r="K33" s="267"/>
      <c r="L33" s="267"/>
      <c r="M33" s="267"/>
      <c r="N33" s="267">
        <f t="shared" si="19"/>
        <v>6.666666666666667</v>
      </c>
      <c r="O33" s="120"/>
      <c r="P33" s="96">
        <f t="shared" si="20"/>
        <v>6.666666666666667</v>
      </c>
      <c r="Q33" s="97">
        <f t="shared" si="21"/>
        <v>6.666666666666667</v>
      </c>
      <c r="R33" s="267"/>
      <c r="S33" s="231"/>
      <c r="T33" s="231"/>
      <c r="U33" s="231"/>
      <c r="V33" s="231"/>
      <c r="W33" s="231"/>
      <c r="X33" s="231"/>
      <c r="Y33" s="215">
        <f t="shared" si="22"/>
        <v>20</v>
      </c>
      <c r="Z33" s="120"/>
      <c r="AA33" s="96">
        <f t="shared" si="23"/>
        <v>20</v>
      </c>
      <c r="AB33" s="97">
        <f t="shared" si="25"/>
        <v>6.666666666666667</v>
      </c>
      <c r="AC33" s="22"/>
      <c r="AD33" s="231"/>
      <c r="AE33" s="231"/>
      <c r="AF33" s="231"/>
      <c r="AG33" s="231"/>
      <c r="AH33" s="231">
        <f>20</f>
        <v>20</v>
      </c>
      <c r="AI33" s="120"/>
      <c r="AJ33" s="96">
        <f t="shared" si="24"/>
        <v>20</v>
      </c>
      <c r="AK33" s="97">
        <f>IF(C33=2011, AJ33/3,AJ33)+AI33</f>
        <v>20</v>
      </c>
      <c r="AL33" s="22"/>
      <c r="AM33" s="22"/>
      <c r="AN33" s="22"/>
      <c r="AO33" s="22"/>
      <c r="AP33" s="13"/>
      <c r="AQ33" s="13"/>
      <c r="AR33" s="13"/>
      <c r="AS33" s="13"/>
      <c r="AT33" s="95"/>
      <c r="AU33" s="96"/>
      <c r="AV33" s="97"/>
    </row>
    <row r="34" spans="1:67" s="17" customFormat="1" x14ac:dyDescent="0.25">
      <c r="A34" s="11" t="s">
        <v>785</v>
      </c>
      <c r="B34" s="83" t="s">
        <v>0</v>
      </c>
      <c r="C34" s="17">
        <v>2008</v>
      </c>
      <c r="D34" s="1">
        <f t="shared" si="18"/>
        <v>27.333333333333332</v>
      </c>
      <c r="E34" s="283"/>
      <c r="F34" s="278"/>
      <c r="G34" s="120"/>
      <c r="H34" s="280"/>
      <c r="I34" s="261"/>
      <c r="J34" s="252"/>
      <c r="K34" s="252"/>
      <c r="L34" s="252"/>
      <c r="M34" s="252"/>
      <c r="N34" s="267">
        <f t="shared" si="19"/>
        <v>27.333333333333332</v>
      </c>
      <c r="O34" s="152"/>
      <c r="P34" s="96">
        <f t="shared" si="20"/>
        <v>27.333333333333332</v>
      </c>
      <c r="Q34" s="97">
        <f t="shared" si="21"/>
        <v>27.333333333333332</v>
      </c>
      <c r="R34" s="252"/>
      <c r="S34" s="201"/>
      <c r="T34" s="192"/>
      <c r="U34" s="183"/>
      <c r="V34" s="168">
        <f>16</f>
        <v>16</v>
      </c>
      <c r="W34" s="164">
        <f>24+6</f>
        <v>30</v>
      </c>
      <c r="X34" s="164">
        <f>24+3</f>
        <v>27</v>
      </c>
      <c r="Y34" s="215">
        <f t="shared" si="22"/>
        <v>0</v>
      </c>
      <c r="Z34" s="120">
        <f>3</f>
        <v>3</v>
      </c>
      <c r="AA34" s="96">
        <f t="shared" si="23"/>
        <v>73</v>
      </c>
      <c r="AB34" s="97">
        <f t="shared" si="25"/>
        <v>27.333333333333332</v>
      </c>
      <c r="AC34" s="22"/>
      <c r="AD34" s="215"/>
      <c r="AE34" s="164"/>
      <c r="AF34" s="164"/>
      <c r="AG34" s="164"/>
      <c r="AH34" s="164"/>
      <c r="AI34" s="120"/>
      <c r="AJ34" s="96"/>
      <c r="AK34" s="97"/>
      <c r="AL34" s="22"/>
      <c r="AM34" s="22"/>
      <c r="AN34" s="22"/>
      <c r="AO34" s="22"/>
      <c r="AP34" s="13"/>
      <c r="AQ34" s="13"/>
      <c r="AR34" s="13"/>
      <c r="AS34" s="13"/>
      <c r="AT34" s="95"/>
      <c r="AU34" s="96"/>
      <c r="AV34" s="97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spans="1:67" s="17" customFormat="1" x14ac:dyDescent="0.25">
      <c r="A35" s="60" t="s">
        <v>147</v>
      </c>
      <c r="B35" s="65" t="s">
        <v>63</v>
      </c>
      <c r="C35" s="62">
        <v>2007</v>
      </c>
      <c r="D35" s="1">
        <f t="shared" si="18"/>
        <v>78</v>
      </c>
      <c r="E35" s="283"/>
      <c r="F35" s="278"/>
      <c r="G35" s="120"/>
      <c r="H35" s="280"/>
      <c r="I35" s="261"/>
      <c r="J35" s="246"/>
      <c r="K35" s="241"/>
      <c r="L35" s="228"/>
      <c r="M35" s="215"/>
      <c r="N35" s="267">
        <f t="shared" si="19"/>
        <v>78</v>
      </c>
      <c r="O35" s="152"/>
      <c r="P35" s="96">
        <f t="shared" si="20"/>
        <v>78</v>
      </c>
      <c r="Q35" s="97">
        <f t="shared" si="21"/>
        <v>78</v>
      </c>
      <c r="R35" s="215"/>
      <c r="S35" s="201"/>
      <c r="T35" s="201"/>
      <c r="U35" s="201"/>
      <c r="V35" s="201">
        <f>9</f>
        <v>9</v>
      </c>
      <c r="W35" s="201">
        <f>6+9</f>
        <v>15</v>
      </c>
      <c r="X35" s="201"/>
      <c r="Y35" s="215">
        <f t="shared" si="22"/>
        <v>54</v>
      </c>
      <c r="Z35" s="120"/>
      <c r="AA35" s="96">
        <f t="shared" si="23"/>
        <v>78</v>
      </c>
      <c r="AB35" s="97">
        <f t="shared" si="25"/>
        <v>78</v>
      </c>
      <c r="AC35" s="22"/>
      <c r="AD35" s="252"/>
      <c r="AE35" s="201"/>
      <c r="AF35" s="201">
        <f>34+45</f>
        <v>79</v>
      </c>
      <c r="AG35" s="201">
        <f>6+6</f>
        <v>12</v>
      </c>
      <c r="AH35" s="201">
        <f>AV35</f>
        <v>62</v>
      </c>
      <c r="AI35" s="120">
        <f>3</f>
        <v>3</v>
      </c>
      <c r="AJ35" s="96">
        <f>SUM(AD35:AH35)</f>
        <v>153</v>
      </c>
      <c r="AK35" s="97">
        <f>IF(C35=2007, AJ35/3,AJ35)+AI35</f>
        <v>54</v>
      </c>
      <c r="AL35" s="22"/>
      <c r="AM35" s="13"/>
      <c r="AN35" s="13">
        <v>15</v>
      </c>
      <c r="AO35" s="13"/>
      <c r="AP35" s="13">
        <f>17+3</f>
        <v>20</v>
      </c>
      <c r="AQ35" s="13">
        <f>0+3</f>
        <v>3</v>
      </c>
      <c r="AR35" s="13">
        <f>12+6</f>
        <v>18</v>
      </c>
      <c r="AS35" s="13"/>
      <c r="AT35" s="95">
        <f>6</f>
        <v>6</v>
      </c>
      <c r="AU35" s="96">
        <f>SUM(AM35:AS35)</f>
        <v>56</v>
      </c>
      <c r="AV35" s="97">
        <f>IF(C35=2010, AU35/3,AU35)+AT35</f>
        <v>62</v>
      </c>
    </row>
    <row r="36" spans="1:67" s="3" customFormat="1" x14ac:dyDescent="0.25">
      <c r="A36" s="11" t="s">
        <v>459</v>
      </c>
      <c r="B36" s="83" t="s">
        <v>0</v>
      </c>
      <c r="C36" s="17">
        <v>2006</v>
      </c>
      <c r="D36" s="1">
        <f t="shared" si="18"/>
        <v>24</v>
      </c>
      <c r="E36" s="283"/>
      <c r="F36" s="278"/>
      <c r="G36" s="120"/>
      <c r="H36" s="280"/>
      <c r="I36" s="267"/>
      <c r="J36" s="267"/>
      <c r="K36" s="267"/>
      <c r="L36" s="267"/>
      <c r="M36" s="267"/>
      <c r="N36" s="267">
        <f t="shared" si="19"/>
        <v>24</v>
      </c>
      <c r="O36" s="120"/>
      <c r="P36" s="96">
        <f t="shared" si="20"/>
        <v>24</v>
      </c>
      <c r="Q36" s="97">
        <f t="shared" si="21"/>
        <v>24</v>
      </c>
      <c r="R36" s="267"/>
      <c r="S36" s="201"/>
      <c r="T36" s="201"/>
      <c r="U36" s="201"/>
      <c r="V36" s="201">
        <f>3</f>
        <v>3</v>
      </c>
      <c r="W36" s="201">
        <f>4+6</f>
        <v>10</v>
      </c>
      <c r="X36" s="201"/>
      <c r="Y36" s="215">
        <f t="shared" si="22"/>
        <v>11</v>
      </c>
      <c r="Z36" s="120"/>
      <c r="AA36" s="96">
        <f t="shared" si="23"/>
        <v>24</v>
      </c>
      <c r="AB36" s="97">
        <f t="shared" si="25"/>
        <v>24</v>
      </c>
      <c r="AC36" s="22"/>
      <c r="AD36" s="231">
        <f>2</f>
        <v>2</v>
      </c>
      <c r="AE36" s="201">
        <f>6</f>
        <v>6</v>
      </c>
      <c r="AF36" s="201"/>
      <c r="AG36" s="201"/>
      <c r="AH36" s="201">
        <f>AV36</f>
        <v>3</v>
      </c>
      <c r="AI36" s="120"/>
      <c r="AJ36" s="96">
        <f>SUM(AD36:AH36)</f>
        <v>11</v>
      </c>
      <c r="AK36" s="97">
        <f>IF(C36=2007, AJ36/3,AJ36)+AI36</f>
        <v>11</v>
      </c>
      <c r="AL36" s="22"/>
      <c r="AM36" s="22"/>
      <c r="AN36" s="22"/>
      <c r="AO36" s="22"/>
      <c r="AP36" s="13"/>
      <c r="AQ36" s="13">
        <f>6</f>
        <v>6</v>
      </c>
      <c r="AR36" s="13">
        <f>3</f>
        <v>3</v>
      </c>
      <c r="AS36" s="13"/>
      <c r="AT36" s="95"/>
      <c r="AU36" s="96">
        <f>SUM(AM36:AS36)</f>
        <v>9</v>
      </c>
      <c r="AV36" s="97">
        <f>IF(C36=2006, AU36/3,AU36)+AT36</f>
        <v>3</v>
      </c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</row>
    <row r="37" spans="1:67" s="3" customFormat="1" x14ac:dyDescent="0.25">
      <c r="A37" s="60" t="s">
        <v>1203</v>
      </c>
      <c r="B37" s="65" t="s">
        <v>1204</v>
      </c>
      <c r="C37" s="62">
        <v>2008</v>
      </c>
      <c r="D37" s="1">
        <f t="shared" si="18"/>
        <v>0</v>
      </c>
      <c r="E37" s="283"/>
      <c r="F37" s="278"/>
      <c r="G37" s="120"/>
      <c r="H37" s="13"/>
      <c r="I37" s="267"/>
      <c r="J37" s="267"/>
      <c r="K37" s="267"/>
      <c r="L37" s="267">
        <f>0</f>
        <v>0</v>
      </c>
      <c r="M37" s="267"/>
      <c r="N37" s="267">
        <f t="shared" si="19"/>
        <v>0</v>
      </c>
      <c r="O37" s="120"/>
      <c r="P37" s="96">
        <f t="shared" si="20"/>
        <v>0</v>
      </c>
      <c r="Q37" s="97">
        <f t="shared" si="21"/>
        <v>0</v>
      </c>
      <c r="R37" s="267"/>
      <c r="S37" s="201"/>
      <c r="T37" s="192"/>
      <c r="U37" s="183"/>
      <c r="V37" s="168"/>
      <c r="W37" s="50"/>
      <c r="X37" s="50"/>
      <c r="Y37" s="215"/>
      <c r="Z37" s="287"/>
      <c r="AA37" s="96"/>
      <c r="AB37" s="97"/>
      <c r="AC37" s="22"/>
      <c r="AD37" s="267"/>
      <c r="AE37" s="50"/>
      <c r="AF37" s="50"/>
      <c r="AG37" s="50"/>
      <c r="AH37" s="50"/>
      <c r="AI37" s="287"/>
      <c r="AJ37" s="68"/>
      <c r="AK37" s="97"/>
      <c r="AL37" s="22"/>
      <c r="AM37" s="289"/>
      <c r="AN37" s="289"/>
      <c r="AO37" s="289"/>
      <c r="AP37" s="289"/>
      <c r="AQ37" s="289"/>
      <c r="AR37" s="289"/>
      <c r="AS37" s="289"/>
      <c r="AT37" s="68"/>
      <c r="AU37" s="68"/>
      <c r="AV37" s="68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</row>
    <row r="38" spans="1:67" s="3" customFormat="1" x14ac:dyDescent="0.25">
      <c r="A38" s="11" t="s">
        <v>664</v>
      </c>
      <c r="B38" s="11" t="s">
        <v>629</v>
      </c>
      <c r="C38" s="3">
        <v>2009</v>
      </c>
      <c r="D38" s="1">
        <f t="shared" si="18"/>
        <v>55</v>
      </c>
      <c r="E38" s="287"/>
      <c r="F38" s="287"/>
      <c r="G38" s="120"/>
      <c r="H38" s="290"/>
      <c r="I38" s="287"/>
      <c r="J38" s="287"/>
      <c r="K38" s="287"/>
      <c r="L38" s="287"/>
      <c r="M38" s="287"/>
      <c r="N38" s="267">
        <f t="shared" si="19"/>
        <v>165</v>
      </c>
      <c r="O38" s="120"/>
      <c r="P38" s="96">
        <f t="shared" si="20"/>
        <v>165</v>
      </c>
      <c r="Q38" s="97">
        <f t="shared" si="21"/>
        <v>55</v>
      </c>
      <c r="R38" s="287"/>
      <c r="S38" s="201"/>
      <c r="T38" s="192"/>
      <c r="U38" s="183"/>
      <c r="V38" s="168"/>
      <c r="W38" s="50">
        <f>0+15</f>
        <v>15</v>
      </c>
      <c r="X38" s="50"/>
      <c r="Y38" s="215">
        <f t="shared" ref="Y38:Y44" si="26">AK38</f>
        <v>150</v>
      </c>
      <c r="Z38" s="120"/>
      <c r="AA38" s="96">
        <f t="shared" ref="AA38:AA45" si="27">S38+T38+U38+V38+W38+X38+Y38</f>
        <v>165</v>
      </c>
      <c r="AB38" s="97">
        <f>IF(C38=2012, AA38/3,AA38)+Z38</f>
        <v>165</v>
      </c>
      <c r="AC38" s="22"/>
      <c r="AD38" s="50"/>
      <c r="AE38" s="50"/>
      <c r="AF38" s="50">
        <f>39+63</f>
        <v>102</v>
      </c>
      <c r="AG38" s="50"/>
      <c r="AH38" s="50">
        <f>48</f>
        <v>48</v>
      </c>
      <c r="AI38" s="120"/>
      <c r="AJ38" s="96">
        <f>SUM(AD38:AH38)</f>
        <v>150</v>
      </c>
      <c r="AK38" s="97">
        <f>IF(C38=2011, AJ38/3,AJ38)+AI38</f>
        <v>150</v>
      </c>
      <c r="AL38" s="22"/>
      <c r="AM38" s="13"/>
      <c r="AN38" s="13"/>
      <c r="AO38" s="13"/>
      <c r="AP38" s="13"/>
      <c r="AQ38" s="13"/>
      <c r="AR38" s="13"/>
      <c r="AS38" s="13"/>
      <c r="AT38" s="95"/>
      <c r="AU38" s="96"/>
      <c r="AV38" s="97"/>
    </row>
    <row r="39" spans="1:67" s="3" customFormat="1" x14ac:dyDescent="0.25">
      <c r="A39" s="60" t="s">
        <v>512</v>
      </c>
      <c r="B39" s="65" t="s">
        <v>86</v>
      </c>
      <c r="C39" s="62">
        <v>2009</v>
      </c>
      <c r="D39" s="1">
        <f t="shared" si="18"/>
        <v>14</v>
      </c>
      <c r="E39" s="108"/>
      <c r="F39" s="108"/>
      <c r="G39" s="120"/>
      <c r="H39" s="101"/>
      <c r="I39" s="108"/>
      <c r="J39" s="108"/>
      <c r="K39" s="108"/>
      <c r="L39" s="108"/>
      <c r="M39" s="108"/>
      <c r="N39" s="267">
        <f t="shared" si="19"/>
        <v>42</v>
      </c>
      <c r="O39" s="120"/>
      <c r="P39" s="96">
        <f t="shared" si="20"/>
        <v>42</v>
      </c>
      <c r="Q39" s="97">
        <f t="shared" si="21"/>
        <v>14</v>
      </c>
      <c r="R39" s="108"/>
      <c r="S39" s="201"/>
      <c r="T39" s="192"/>
      <c r="U39" s="183"/>
      <c r="V39" s="168"/>
      <c r="W39" s="50"/>
      <c r="X39" s="50"/>
      <c r="Y39" s="215">
        <f t="shared" si="26"/>
        <v>42</v>
      </c>
      <c r="Z39" s="120"/>
      <c r="AA39" s="96">
        <f t="shared" si="27"/>
        <v>42</v>
      </c>
      <c r="AB39" s="97">
        <f>IF(C39=2012, AA39/3,AA39)+Z39</f>
        <v>42</v>
      </c>
      <c r="AC39" s="22"/>
      <c r="AD39" s="50"/>
      <c r="AE39" s="50"/>
      <c r="AF39" s="50"/>
      <c r="AG39" s="50"/>
      <c r="AH39" s="50">
        <f>AV39</f>
        <v>42</v>
      </c>
      <c r="AI39" s="120"/>
      <c r="AJ39" s="96">
        <f>SUM(AD39:AH39)</f>
        <v>42</v>
      </c>
      <c r="AK39" s="97">
        <f>IF(C39=2011, AJ39/3,AJ39)+AI39</f>
        <v>42</v>
      </c>
      <c r="AL39" s="22"/>
      <c r="AM39" s="13"/>
      <c r="AN39" s="13"/>
      <c r="AO39" s="13"/>
      <c r="AP39" s="13"/>
      <c r="AQ39" s="13"/>
      <c r="AR39" s="13">
        <f>39</f>
        <v>39</v>
      </c>
      <c r="AS39" s="13"/>
      <c r="AT39" s="95">
        <f>3</f>
        <v>3</v>
      </c>
      <c r="AU39" s="96">
        <f>SUM(AM39:AS39)</f>
        <v>39</v>
      </c>
      <c r="AV39" s="97">
        <f>IF(C39=2010, AU39/3,AU39)+AT39</f>
        <v>42</v>
      </c>
    </row>
    <row r="40" spans="1:67" s="17" customFormat="1" x14ac:dyDescent="0.25">
      <c r="A40" s="60" t="s">
        <v>788</v>
      </c>
      <c r="B40" s="65" t="s">
        <v>629</v>
      </c>
      <c r="C40" s="62">
        <v>2009</v>
      </c>
      <c r="D40" s="1">
        <f t="shared" si="18"/>
        <v>4</v>
      </c>
      <c r="E40" s="283"/>
      <c r="F40" s="278"/>
      <c r="G40" s="120"/>
      <c r="H40" s="280"/>
      <c r="I40" s="261"/>
      <c r="J40" s="246"/>
      <c r="K40" s="241"/>
      <c r="L40" s="228"/>
      <c r="M40" s="215"/>
      <c r="N40" s="267">
        <f t="shared" si="19"/>
        <v>12</v>
      </c>
      <c r="O40" s="120"/>
      <c r="P40" s="96">
        <f t="shared" si="20"/>
        <v>12</v>
      </c>
      <c r="Q40" s="97">
        <f t="shared" si="21"/>
        <v>4</v>
      </c>
      <c r="R40" s="215"/>
      <c r="S40" s="201"/>
      <c r="T40" s="192"/>
      <c r="U40" s="183"/>
      <c r="V40" s="168"/>
      <c r="W40" s="50"/>
      <c r="X40" s="50">
        <f>0+12</f>
        <v>12</v>
      </c>
      <c r="Y40" s="215">
        <f t="shared" si="26"/>
        <v>0</v>
      </c>
      <c r="Z40" s="120"/>
      <c r="AA40" s="96">
        <f t="shared" si="27"/>
        <v>12</v>
      </c>
      <c r="AB40" s="97">
        <f>IF(C40=2012, AA40/3,AA40)+Z40</f>
        <v>12</v>
      </c>
      <c r="AC40" s="22"/>
      <c r="AD40" s="252"/>
      <c r="AE40" s="50"/>
      <c r="AF40" s="50"/>
      <c r="AG40" s="50"/>
      <c r="AH40" s="50"/>
      <c r="AI40" s="120"/>
      <c r="AJ40" s="96">
        <f>SUM(AD40:AH40)</f>
        <v>0</v>
      </c>
      <c r="AK40" s="97"/>
      <c r="AL40" s="22"/>
      <c r="AM40" s="13"/>
      <c r="AN40" s="13"/>
      <c r="AO40" s="13"/>
      <c r="AP40" s="13"/>
      <c r="AQ40" s="13"/>
      <c r="AR40" s="13"/>
      <c r="AS40" s="13"/>
      <c r="AT40" s="95"/>
      <c r="AU40" s="96"/>
      <c r="AV40" s="97"/>
    </row>
    <row r="41" spans="1:67" s="3" customFormat="1" ht="16.5" customHeight="1" x14ac:dyDescent="0.25">
      <c r="A41" s="60" t="s">
        <v>853</v>
      </c>
      <c r="B41" s="65" t="s">
        <v>629</v>
      </c>
      <c r="C41" s="62">
        <v>2008</v>
      </c>
      <c r="D41" s="1">
        <f t="shared" si="18"/>
        <v>0</v>
      </c>
      <c r="E41" s="283"/>
      <c r="F41" s="278"/>
      <c r="G41" s="120"/>
      <c r="H41" s="280"/>
      <c r="I41" s="261"/>
      <c r="J41" s="256">
        <f>0</f>
        <v>0</v>
      </c>
      <c r="K41" s="256"/>
      <c r="L41" s="256"/>
      <c r="M41" s="256"/>
      <c r="N41" s="267">
        <f t="shared" si="19"/>
        <v>0</v>
      </c>
      <c r="O41" s="120"/>
      <c r="P41" s="96">
        <f t="shared" si="20"/>
        <v>0</v>
      </c>
      <c r="Q41" s="97">
        <f t="shared" si="21"/>
        <v>0</v>
      </c>
      <c r="R41" s="256"/>
      <c r="S41" s="201"/>
      <c r="T41" s="192"/>
      <c r="U41" s="183"/>
      <c r="V41" s="168"/>
      <c r="W41" s="50">
        <f>0</f>
        <v>0</v>
      </c>
      <c r="X41" s="50"/>
      <c r="Y41" s="215">
        <f t="shared" si="26"/>
        <v>0</v>
      </c>
      <c r="Z41" s="120"/>
      <c r="AA41" s="96">
        <f t="shared" si="27"/>
        <v>0</v>
      </c>
      <c r="AB41" s="97">
        <f>IF(C41=2008, AA41/3,AA41)+Z41</f>
        <v>0</v>
      </c>
      <c r="AC41" s="22"/>
      <c r="AD41" s="267"/>
      <c r="AE41" s="50"/>
      <c r="AF41" s="50"/>
      <c r="AG41" s="50"/>
      <c r="AH41" s="50"/>
      <c r="AI41" s="120"/>
      <c r="AJ41" s="96"/>
      <c r="AK41" s="97"/>
      <c r="AL41" s="22"/>
      <c r="AM41" s="13"/>
      <c r="AN41" s="13"/>
      <c r="AO41" s="13"/>
      <c r="AP41" s="13"/>
      <c r="AQ41" s="13"/>
      <c r="AR41" s="13"/>
      <c r="AS41" s="13"/>
      <c r="AT41" s="95"/>
      <c r="AU41" s="96"/>
      <c r="AV41" s="9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</row>
    <row r="42" spans="1:67" s="3" customFormat="1" ht="16.5" customHeight="1" x14ac:dyDescent="0.25">
      <c r="A42" s="60" t="s">
        <v>522</v>
      </c>
      <c r="B42" s="65" t="s">
        <v>63</v>
      </c>
      <c r="C42" s="62">
        <v>2001</v>
      </c>
      <c r="D42" s="1">
        <f t="shared" si="18"/>
        <v>42</v>
      </c>
      <c r="E42" s="287"/>
      <c r="F42" s="287"/>
      <c r="G42" s="120"/>
      <c r="H42" s="280"/>
      <c r="I42" s="261"/>
      <c r="J42" s="256"/>
      <c r="K42" s="256"/>
      <c r="L42" s="256"/>
      <c r="M42" s="256"/>
      <c r="N42" s="267">
        <f t="shared" si="19"/>
        <v>42</v>
      </c>
      <c r="O42" s="120"/>
      <c r="P42" s="96">
        <f t="shared" si="20"/>
        <v>42</v>
      </c>
      <c r="Q42" s="97">
        <f t="shared" si="21"/>
        <v>42</v>
      </c>
      <c r="R42" s="256"/>
      <c r="S42" s="201"/>
      <c r="T42" s="192"/>
      <c r="U42" s="183"/>
      <c r="V42" s="168"/>
      <c r="W42" s="50">
        <f>9</f>
        <v>9</v>
      </c>
      <c r="X42" s="50"/>
      <c r="Y42" s="215">
        <f t="shared" si="26"/>
        <v>33</v>
      </c>
      <c r="Z42" s="120"/>
      <c r="AA42" s="96">
        <f t="shared" si="27"/>
        <v>42</v>
      </c>
      <c r="AB42" s="97">
        <f>IF(C42=2008, AA42/3,AA42)+Z42</f>
        <v>42</v>
      </c>
      <c r="AC42" s="22"/>
      <c r="AD42" s="50"/>
      <c r="AE42" s="50"/>
      <c r="AF42" s="50">
        <f>3</f>
        <v>3</v>
      </c>
      <c r="AG42" s="50">
        <f>9+3+3</f>
        <v>15</v>
      </c>
      <c r="AH42" s="50">
        <f>AV42</f>
        <v>15</v>
      </c>
      <c r="AI42" s="120"/>
      <c r="AJ42" s="96">
        <f>SUM(AD42:AH42)</f>
        <v>33</v>
      </c>
      <c r="AK42" s="97">
        <f>IF(C42=2007, AJ42/3,AJ42)+AI42</f>
        <v>33</v>
      </c>
      <c r="AL42" s="22"/>
      <c r="AM42" s="289"/>
      <c r="AN42" s="289"/>
      <c r="AO42" s="289"/>
      <c r="AP42" s="289"/>
      <c r="AQ42" s="289"/>
      <c r="AR42" s="289">
        <f>6+3+6</f>
        <v>15</v>
      </c>
      <c r="AS42" s="289"/>
      <c r="AT42" s="95"/>
      <c r="AU42" s="96">
        <f>SUM(AM42:AS42)</f>
        <v>15</v>
      </c>
      <c r="AV42" s="97">
        <f>IF(C42=2006, AU42/3,AU42)+AT42</f>
        <v>15</v>
      </c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</row>
    <row r="43" spans="1:67" s="3" customFormat="1" x14ac:dyDescent="0.25">
      <c r="A43" s="60" t="s">
        <v>671</v>
      </c>
      <c r="B43" s="65" t="s">
        <v>476</v>
      </c>
      <c r="C43" s="62">
        <v>2007</v>
      </c>
      <c r="D43" s="1">
        <f t="shared" si="18"/>
        <v>9</v>
      </c>
      <c r="E43" s="154"/>
      <c r="F43" s="154"/>
      <c r="G43" s="120"/>
      <c r="H43" s="280"/>
      <c r="I43" s="261"/>
      <c r="J43" s="246"/>
      <c r="K43" s="241"/>
      <c r="L43" s="231"/>
      <c r="M43" s="231"/>
      <c r="N43" s="267">
        <f t="shared" si="19"/>
        <v>9</v>
      </c>
      <c r="O43" s="152"/>
      <c r="P43" s="96">
        <f t="shared" si="20"/>
        <v>9</v>
      </c>
      <c r="Q43" s="97">
        <f t="shared" si="21"/>
        <v>9</v>
      </c>
      <c r="R43" s="231"/>
      <c r="S43" s="201"/>
      <c r="T43" s="192"/>
      <c r="U43" s="183"/>
      <c r="V43" s="168"/>
      <c r="W43" s="50"/>
      <c r="X43" s="50"/>
      <c r="Y43" s="215">
        <f t="shared" si="26"/>
        <v>9</v>
      </c>
      <c r="Z43" s="120"/>
      <c r="AA43" s="96">
        <f t="shared" si="27"/>
        <v>9</v>
      </c>
      <c r="AB43" s="97">
        <f>IF(C43=2008, AA43/3,AA43)+Z43</f>
        <v>9</v>
      </c>
      <c r="AC43" s="22"/>
      <c r="AD43" s="256"/>
      <c r="AE43" s="50">
        <f>6</f>
        <v>6</v>
      </c>
      <c r="AF43" s="50">
        <f>21</f>
        <v>21</v>
      </c>
      <c r="AG43" s="50"/>
      <c r="AH43" s="50"/>
      <c r="AI43" s="120"/>
      <c r="AJ43" s="96">
        <f>SUM(AD43:AH43)</f>
        <v>27</v>
      </c>
      <c r="AK43" s="97">
        <f>IF(C43=2007, AJ43/3,AJ43)+AI43</f>
        <v>9</v>
      </c>
      <c r="AL43" s="22"/>
      <c r="AM43" s="13"/>
      <c r="AN43" s="13"/>
      <c r="AO43" s="13"/>
      <c r="AP43" s="13"/>
      <c r="AQ43" s="13"/>
      <c r="AR43" s="13"/>
      <c r="AS43" s="13"/>
      <c r="AT43" s="95"/>
      <c r="AU43" s="96"/>
      <c r="AV43" s="97"/>
    </row>
    <row r="44" spans="1:67" s="3" customFormat="1" x14ac:dyDescent="0.25">
      <c r="A44" s="11" t="s">
        <v>363</v>
      </c>
      <c r="B44" s="19" t="s">
        <v>7</v>
      </c>
      <c r="C44" s="3">
        <v>2006</v>
      </c>
      <c r="D44" s="1">
        <f t="shared" si="18"/>
        <v>109</v>
      </c>
      <c r="E44" s="283"/>
      <c r="F44" s="278"/>
      <c r="G44" s="120"/>
      <c r="H44" s="280"/>
      <c r="I44" s="267"/>
      <c r="J44" s="267"/>
      <c r="K44" s="267"/>
      <c r="L44" s="267"/>
      <c r="M44" s="267"/>
      <c r="N44" s="267">
        <f t="shared" si="19"/>
        <v>109</v>
      </c>
      <c r="O44" s="120"/>
      <c r="P44" s="96">
        <f t="shared" si="20"/>
        <v>109</v>
      </c>
      <c r="Q44" s="97">
        <f t="shared" si="21"/>
        <v>109</v>
      </c>
      <c r="R44" s="267"/>
      <c r="S44" s="201"/>
      <c r="T44" s="192"/>
      <c r="U44" s="183"/>
      <c r="V44" s="168"/>
      <c r="W44" s="50"/>
      <c r="X44" s="50"/>
      <c r="Y44" s="215">
        <f t="shared" si="26"/>
        <v>109</v>
      </c>
      <c r="Z44" s="120"/>
      <c r="AA44" s="96">
        <f t="shared" si="27"/>
        <v>109</v>
      </c>
      <c r="AB44" s="97">
        <f>IF(C44=2008, AA44/3,AA44)+Z44</f>
        <v>109</v>
      </c>
      <c r="AC44" s="22"/>
      <c r="AD44" s="50"/>
      <c r="AE44" s="50"/>
      <c r="AF44" s="50"/>
      <c r="AG44" s="50"/>
      <c r="AH44" s="50">
        <f>AV44</f>
        <v>109</v>
      </c>
      <c r="AI44" s="120"/>
      <c r="AJ44" s="96">
        <f>SUM(AD44:AH44)</f>
        <v>109</v>
      </c>
      <c r="AK44" s="97">
        <f>IF(C44=2007, AJ44/3,AJ44)+AI44</f>
        <v>109</v>
      </c>
      <c r="AL44" s="22"/>
      <c r="AM44" s="13"/>
      <c r="AN44" s="13"/>
      <c r="AO44" s="13"/>
      <c r="AP44" s="13">
        <f>18</f>
        <v>18</v>
      </c>
      <c r="AQ44" s="13"/>
      <c r="AR44" s="13"/>
      <c r="AS44" s="13">
        <v>309</v>
      </c>
      <c r="AT44" s="95"/>
      <c r="AU44" s="96">
        <f>SUM(AM44:AS44)</f>
        <v>327</v>
      </c>
      <c r="AV44" s="97">
        <f>IF(C44=2006, AU44/3,AU44)+AT44</f>
        <v>109</v>
      </c>
    </row>
    <row r="45" spans="1:67" s="3" customFormat="1" x14ac:dyDescent="0.25">
      <c r="A45" s="60" t="s">
        <v>1185</v>
      </c>
      <c r="B45" s="65" t="s">
        <v>231</v>
      </c>
      <c r="C45" s="62">
        <v>2008</v>
      </c>
      <c r="D45" s="1">
        <f t="shared" si="18"/>
        <v>17</v>
      </c>
      <c r="E45" s="154">
        <f>0</f>
        <v>0</v>
      </c>
      <c r="F45" s="154">
        <f>0</f>
        <v>0</v>
      </c>
      <c r="G45" s="120"/>
      <c r="H45" s="13"/>
      <c r="I45" s="287"/>
      <c r="J45" s="287"/>
      <c r="K45" s="287"/>
      <c r="L45" s="287">
        <f>2+15</f>
        <v>17</v>
      </c>
      <c r="M45" s="287"/>
      <c r="N45" s="267">
        <f t="shared" si="19"/>
        <v>0</v>
      </c>
      <c r="O45" s="120"/>
      <c r="P45" s="96">
        <f t="shared" si="20"/>
        <v>17</v>
      </c>
      <c r="Q45" s="97">
        <f t="shared" si="21"/>
        <v>17</v>
      </c>
      <c r="R45" s="287"/>
      <c r="S45" s="201"/>
      <c r="T45" s="192"/>
      <c r="U45" s="183"/>
      <c r="V45" s="168"/>
      <c r="W45" s="50"/>
      <c r="X45" s="50"/>
      <c r="Y45" s="215"/>
      <c r="Z45" s="287"/>
      <c r="AA45" s="96">
        <f t="shared" si="27"/>
        <v>0</v>
      </c>
      <c r="AB45" s="97">
        <f>IF(C45=2008, AA45/3,AA45)+Z45</f>
        <v>0</v>
      </c>
      <c r="AC45" s="22"/>
      <c r="AD45" s="50"/>
      <c r="AE45" s="50"/>
      <c r="AF45" s="50"/>
      <c r="AG45" s="50"/>
      <c r="AH45" s="50"/>
      <c r="AI45" s="287"/>
      <c r="AJ45" s="68"/>
      <c r="AK45" s="97"/>
      <c r="AL45" s="22"/>
      <c r="AM45" s="289"/>
      <c r="AN45" s="289"/>
      <c r="AO45" s="289"/>
      <c r="AP45" s="289"/>
      <c r="AQ45" s="289"/>
      <c r="AR45" s="289"/>
      <c r="AS45" s="289"/>
      <c r="AT45" s="68"/>
      <c r="AU45" s="68"/>
      <c r="AV45" s="68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</row>
    <row r="46" spans="1:67" s="3" customFormat="1" x14ac:dyDescent="0.25">
      <c r="A46" s="60" t="s">
        <v>1151</v>
      </c>
      <c r="B46" s="65" t="s">
        <v>86</v>
      </c>
      <c r="C46" s="62">
        <v>2009</v>
      </c>
      <c r="D46" s="1">
        <f t="shared" si="18"/>
        <v>4.333333333333333</v>
      </c>
      <c r="E46" s="154"/>
      <c r="F46" s="154"/>
      <c r="G46" s="120"/>
      <c r="H46" s="13"/>
      <c r="I46" s="287"/>
      <c r="J46" s="287"/>
      <c r="K46" s="287"/>
      <c r="L46" s="287">
        <f>13</f>
        <v>13</v>
      </c>
      <c r="M46" s="287"/>
      <c r="N46" s="267">
        <f t="shared" si="19"/>
        <v>0</v>
      </c>
      <c r="O46" s="120"/>
      <c r="P46" s="96">
        <f t="shared" si="20"/>
        <v>13</v>
      </c>
      <c r="Q46" s="97">
        <f t="shared" si="21"/>
        <v>4.333333333333333</v>
      </c>
      <c r="R46" s="287"/>
      <c r="S46" s="201"/>
      <c r="T46" s="192"/>
      <c r="U46" s="183"/>
      <c r="V46" s="168"/>
      <c r="W46" s="50"/>
      <c r="X46" s="50"/>
      <c r="Y46" s="215"/>
      <c r="Z46" s="120"/>
      <c r="AA46" s="96"/>
      <c r="AB46" s="97"/>
      <c r="AC46" s="22"/>
      <c r="AD46" s="267"/>
      <c r="AE46" s="50"/>
      <c r="AF46" s="50"/>
      <c r="AG46" s="50"/>
      <c r="AH46" s="50"/>
      <c r="AI46" s="120"/>
      <c r="AJ46" s="96"/>
      <c r="AK46" s="97"/>
      <c r="AL46" s="22"/>
      <c r="AM46" s="13"/>
      <c r="AN46" s="13"/>
      <c r="AO46" s="13"/>
      <c r="AP46" s="13"/>
      <c r="AQ46" s="13"/>
      <c r="AR46" s="13"/>
      <c r="AS46" s="13"/>
      <c r="AT46" s="95"/>
      <c r="AU46" s="96"/>
      <c r="AV46" s="9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</row>
    <row r="47" spans="1:67" s="3" customFormat="1" x14ac:dyDescent="0.25">
      <c r="A47" s="60" t="s">
        <v>273</v>
      </c>
      <c r="B47" s="65" t="s">
        <v>36</v>
      </c>
      <c r="C47" s="62">
        <v>2008</v>
      </c>
      <c r="D47" s="1">
        <f t="shared" si="18"/>
        <v>56.333333333333336</v>
      </c>
      <c r="E47" s="283"/>
      <c r="F47" s="278"/>
      <c r="G47" s="120"/>
      <c r="H47" s="280"/>
      <c r="I47" s="261"/>
      <c r="J47" s="252"/>
      <c r="K47" s="252"/>
      <c r="L47" s="252"/>
      <c r="M47" s="252"/>
      <c r="N47" s="267">
        <f t="shared" si="19"/>
        <v>56.333333333333336</v>
      </c>
      <c r="O47" s="152"/>
      <c r="P47" s="96">
        <f t="shared" si="20"/>
        <v>56.333333333333336</v>
      </c>
      <c r="Q47" s="97">
        <f t="shared" si="21"/>
        <v>56.333333333333336</v>
      </c>
      <c r="R47" s="252"/>
      <c r="S47" s="201"/>
      <c r="T47" s="192"/>
      <c r="U47" s="183"/>
      <c r="V47" s="168"/>
      <c r="W47" s="50"/>
      <c r="X47" s="50"/>
      <c r="Y47" s="215">
        <f t="shared" ref="Y47:Y58" si="28">AK47</f>
        <v>169</v>
      </c>
      <c r="Z47" s="120"/>
      <c r="AA47" s="96">
        <f t="shared" ref="AA47:AA74" si="29">S47+T47+U47+V47+W47+X47+Y47</f>
        <v>169</v>
      </c>
      <c r="AB47" s="97">
        <f>IF(C47=2008, AA47/3,AA47)+Z47</f>
        <v>56.333333333333336</v>
      </c>
      <c r="AC47" s="22"/>
      <c r="AD47" s="215"/>
      <c r="AE47" s="50">
        <f>32+15</f>
        <v>47</v>
      </c>
      <c r="AF47" s="50">
        <f>42+16</f>
        <v>58</v>
      </c>
      <c r="AG47" s="50">
        <f>27+9</f>
        <v>36</v>
      </c>
      <c r="AH47" s="50">
        <f t="shared" ref="AH47:AH52" si="30">AV47</f>
        <v>28</v>
      </c>
      <c r="AI47" s="120"/>
      <c r="AJ47" s="96">
        <f t="shared" ref="AJ47:AJ58" si="31">SUM(AD47:AH47)</f>
        <v>169</v>
      </c>
      <c r="AK47" s="97">
        <f>IF(C47=2011, AJ47/3,AJ47)+AI47</f>
        <v>169</v>
      </c>
      <c r="AL47" s="22"/>
      <c r="AM47" s="13"/>
      <c r="AN47" s="13"/>
      <c r="AO47" s="13">
        <f>0</f>
        <v>0</v>
      </c>
      <c r="AP47" s="13"/>
      <c r="AQ47" s="13"/>
      <c r="AR47" s="13">
        <f>12+12+4</f>
        <v>28</v>
      </c>
      <c r="AS47" s="13"/>
      <c r="AT47" s="95"/>
      <c r="AU47" s="96">
        <f t="shared" ref="AU47:AU52" si="32">SUM(AM47:AS47)</f>
        <v>28</v>
      </c>
      <c r="AV47" s="97">
        <f>IF(C47=2010, AU47/3,AU47)+AT47</f>
        <v>28</v>
      </c>
    </row>
    <row r="48" spans="1:67" s="3" customFormat="1" x14ac:dyDescent="0.25">
      <c r="A48" s="60" t="s">
        <v>213</v>
      </c>
      <c r="B48" s="65" t="s">
        <v>86</v>
      </c>
      <c r="C48" s="62">
        <v>2005</v>
      </c>
      <c r="D48" s="1">
        <f t="shared" si="18"/>
        <v>3</v>
      </c>
      <c r="E48" s="287"/>
      <c r="F48" s="287"/>
      <c r="G48" s="120"/>
      <c r="H48" s="280"/>
      <c r="I48" s="108"/>
      <c r="J48" s="108"/>
      <c r="K48" s="108"/>
      <c r="L48" s="108"/>
      <c r="M48" s="108"/>
      <c r="N48" s="267">
        <f t="shared" si="19"/>
        <v>3</v>
      </c>
      <c r="O48" s="122"/>
      <c r="P48" s="96">
        <f t="shared" si="20"/>
        <v>3</v>
      </c>
      <c r="Q48" s="97">
        <f t="shared" si="21"/>
        <v>3</v>
      </c>
      <c r="R48" s="108"/>
      <c r="S48" s="201"/>
      <c r="T48" s="192"/>
      <c r="U48" s="183"/>
      <c r="V48" s="168"/>
      <c r="W48" s="50"/>
      <c r="X48" s="50"/>
      <c r="Y48" s="215">
        <f t="shared" si="28"/>
        <v>3</v>
      </c>
      <c r="Z48" s="120"/>
      <c r="AA48" s="96">
        <f t="shared" si="29"/>
        <v>3</v>
      </c>
      <c r="AB48" s="97">
        <f>IF(C48=2008, AA48/3,AA48)+Z48</f>
        <v>3</v>
      </c>
      <c r="AC48" s="22"/>
      <c r="AD48" s="267"/>
      <c r="AE48" s="50"/>
      <c r="AF48" s="50"/>
      <c r="AG48" s="50"/>
      <c r="AH48" s="50">
        <f t="shared" si="30"/>
        <v>3</v>
      </c>
      <c r="AI48" s="120"/>
      <c r="AJ48" s="96">
        <f t="shared" si="31"/>
        <v>3</v>
      </c>
      <c r="AK48" s="97">
        <f>IF(C48=2007, AJ48/3,AJ48)+AI48</f>
        <v>3</v>
      </c>
      <c r="AL48" s="22"/>
      <c r="AM48" s="26"/>
      <c r="AN48" s="26">
        <v>0</v>
      </c>
      <c r="AO48" s="26"/>
      <c r="AP48" s="26">
        <f>3</f>
        <v>3</v>
      </c>
      <c r="AQ48" s="26"/>
      <c r="AR48" s="26"/>
      <c r="AS48" s="26"/>
      <c r="AT48" s="95"/>
      <c r="AU48" s="96">
        <f t="shared" si="32"/>
        <v>3</v>
      </c>
      <c r="AV48" s="97">
        <f>IF(C48=2006, AU48/3,AU48)+AT48</f>
        <v>3</v>
      </c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</row>
    <row r="49" spans="1:67" s="3" customFormat="1" x14ac:dyDescent="0.25">
      <c r="A49" s="71" t="s">
        <v>279</v>
      </c>
      <c r="B49" s="19" t="s">
        <v>231</v>
      </c>
      <c r="C49" s="72">
        <v>2009</v>
      </c>
      <c r="D49" s="1">
        <f t="shared" si="18"/>
        <v>14</v>
      </c>
      <c r="E49" s="154"/>
      <c r="F49" s="154"/>
      <c r="G49" s="120"/>
      <c r="H49" s="290"/>
      <c r="I49" s="154"/>
      <c r="J49" s="154"/>
      <c r="K49" s="154"/>
      <c r="L49" s="154"/>
      <c r="M49" s="154"/>
      <c r="N49" s="267">
        <f t="shared" si="19"/>
        <v>42</v>
      </c>
      <c r="O49" s="120"/>
      <c r="P49" s="96">
        <f t="shared" si="20"/>
        <v>42</v>
      </c>
      <c r="Q49" s="97">
        <f t="shared" si="21"/>
        <v>14</v>
      </c>
      <c r="R49" s="154"/>
      <c r="S49" s="201"/>
      <c r="T49" s="192"/>
      <c r="U49" s="183"/>
      <c r="V49" s="168"/>
      <c r="W49" s="50"/>
      <c r="X49" s="50"/>
      <c r="Y49" s="215">
        <f t="shared" si="28"/>
        <v>42</v>
      </c>
      <c r="Z49" s="120"/>
      <c r="AA49" s="96">
        <f t="shared" si="29"/>
        <v>42</v>
      </c>
      <c r="AB49" s="97">
        <f>IF(C49=2012, AA49/3,AA49)+Z49</f>
        <v>42</v>
      </c>
      <c r="AC49" s="22"/>
      <c r="AD49" s="231"/>
      <c r="AE49" s="50"/>
      <c r="AF49" s="50">
        <f>4</f>
        <v>4</v>
      </c>
      <c r="AG49" s="50">
        <f>12</f>
        <v>12</v>
      </c>
      <c r="AH49" s="50">
        <f t="shared" si="30"/>
        <v>26</v>
      </c>
      <c r="AI49" s="120"/>
      <c r="AJ49" s="96">
        <f t="shared" si="31"/>
        <v>42</v>
      </c>
      <c r="AK49" s="97">
        <f>IF(C49=2011, AJ49/3,AJ49)+AI49</f>
        <v>42</v>
      </c>
      <c r="AL49" s="22"/>
      <c r="AM49" s="13"/>
      <c r="AN49" s="13"/>
      <c r="AO49" s="13">
        <v>6</v>
      </c>
      <c r="AP49" s="13"/>
      <c r="AQ49" s="13"/>
      <c r="AR49" s="13">
        <f>20</f>
        <v>20</v>
      </c>
      <c r="AS49" s="13"/>
      <c r="AT49" s="95"/>
      <c r="AU49" s="96">
        <f t="shared" si="32"/>
        <v>26</v>
      </c>
      <c r="AV49" s="97">
        <f>IF(C49=2010, AU49/3,AU49)+AT49</f>
        <v>26</v>
      </c>
    </row>
    <row r="50" spans="1:67" s="3" customFormat="1" x14ac:dyDescent="0.25">
      <c r="A50" s="71" t="s">
        <v>433</v>
      </c>
      <c r="B50" s="19" t="s">
        <v>111</v>
      </c>
      <c r="C50" s="72">
        <v>2009</v>
      </c>
      <c r="D50" s="1">
        <f t="shared" si="18"/>
        <v>63</v>
      </c>
      <c r="E50" s="287"/>
      <c r="F50" s="287"/>
      <c r="G50" s="120"/>
      <c r="H50" s="290"/>
      <c r="I50" s="267"/>
      <c r="J50" s="267"/>
      <c r="K50" s="267"/>
      <c r="L50" s="267"/>
      <c r="M50" s="267"/>
      <c r="N50" s="267">
        <f t="shared" si="19"/>
        <v>189</v>
      </c>
      <c r="O50" s="120"/>
      <c r="P50" s="96">
        <f t="shared" si="20"/>
        <v>189</v>
      </c>
      <c r="Q50" s="97">
        <f t="shared" si="21"/>
        <v>63</v>
      </c>
      <c r="R50" s="267"/>
      <c r="S50" s="201"/>
      <c r="T50" s="192"/>
      <c r="U50" s="183"/>
      <c r="V50" s="168"/>
      <c r="W50" s="50"/>
      <c r="X50" s="50"/>
      <c r="Y50" s="215">
        <f t="shared" si="28"/>
        <v>189</v>
      </c>
      <c r="Z50" s="120"/>
      <c r="AA50" s="96">
        <f t="shared" si="29"/>
        <v>189</v>
      </c>
      <c r="AB50" s="97">
        <f>IF(C50=2012, AA50/3,AA50)+Z50</f>
        <v>189</v>
      </c>
      <c r="AC50" s="22"/>
      <c r="AD50" s="50"/>
      <c r="AE50" s="50">
        <f>16</f>
        <v>16</v>
      </c>
      <c r="AF50" s="50">
        <f>34+8</f>
        <v>42</v>
      </c>
      <c r="AG50" s="50">
        <f>26+6</f>
        <v>32</v>
      </c>
      <c r="AH50" s="50">
        <f t="shared" si="30"/>
        <v>99</v>
      </c>
      <c r="AI50" s="120"/>
      <c r="AJ50" s="96">
        <f t="shared" si="31"/>
        <v>189</v>
      </c>
      <c r="AK50" s="97">
        <f>IF(C50=2011, AJ50/3,AJ50)+AI50</f>
        <v>189</v>
      </c>
      <c r="AL50" s="22"/>
      <c r="AM50" s="13"/>
      <c r="AN50" s="13">
        <f>24</f>
        <v>24</v>
      </c>
      <c r="AO50" s="13"/>
      <c r="AP50" s="13">
        <f>36</f>
        <v>36</v>
      </c>
      <c r="AQ50" s="13">
        <f>11+6</f>
        <v>17</v>
      </c>
      <c r="AR50" s="13">
        <f>19+3</f>
        <v>22</v>
      </c>
      <c r="AS50" s="13"/>
      <c r="AT50" s="95"/>
      <c r="AU50" s="96">
        <f t="shared" si="32"/>
        <v>99</v>
      </c>
      <c r="AV50" s="97">
        <f>IF(C50=2010, AU50/3,AU50)+AT50</f>
        <v>99</v>
      </c>
    </row>
    <row r="51" spans="1:67" s="3" customFormat="1" x14ac:dyDescent="0.25">
      <c r="A51" s="71" t="s">
        <v>514</v>
      </c>
      <c r="B51" s="19" t="s">
        <v>86</v>
      </c>
      <c r="C51" s="72">
        <v>2008</v>
      </c>
      <c r="D51" s="1">
        <f t="shared" si="18"/>
        <v>10</v>
      </c>
      <c r="E51" s="154"/>
      <c r="F51" s="154"/>
      <c r="G51" s="120"/>
      <c r="H51" s="280"/>
      <c r="I51" s="261"/>
      <c r="J51" s="246"/>
      <c r="K51" s="241"/>
      <c r="L51" s="228"/>
      <c r="M51" s="215"/>
      <c r="N51" s="267">
        <f t="shared" si="19"/>
        <v>10</v>
      </c>
      <c r="O51" s="120"/>
      <c r="P51" s="96">
        <f t="shared" si="20"/>
        <v>10</v>
      </c>
      <c r="Q51" s="97">
        <f t="shared" si="21"/>
        <v>10</v>
      </c>
      <c r="R51" s="215"/>
      <c r="S51" s="256"/>
      <c r="T51" s="256"/>
      <c r="U51" s="256"/>
      <c r="V51" s="256"/>
      <c r="W51" s="256"/>
      <c r="X51" s="256"/>
      <c r="Y51" s="215">
        <f t="shared" si="28"/>
        <v>30</v>
      </c>
      <c r="Z51" s="120"/>
      <c r="AA51" s="96">
        <f t="shared" si="29"/>
        <v>30</v>
      </c>
      <c r="AB51" s="97">
        <f t="shared" ref="AB51:AB56" si="33">IF(C51=2008, AA51/3,AA51)+Z51</f>
        <v>10</v>
      </c>
      <c r="AC51" s="22"/>
      <c r="AD51" s="256"/>
      <c r="AE51" s="50"/>
      <c r="AF51" s="50"/>
      <c r="AG51" s="50"/>
      <c r="AH51" s="50">
        <f t="shared" si="30"/>
        <v>30</v>
      </c>
      <c r="AI51" s="120"/>
      <c r="AJ51" s="96">
        <f t="shared" si="31"/>
        <v>30</v>
      </c>
      <c r="AK51" s="97">
        <f>IF(C51=2011, AJ51/3,AJ51)+AI51</f>
        <v>30</v>
      </c>
      <c r="AL51" s="22"/>
      <c r="AM51" s="13"/>
      <c r="AN51" s="13"/>
      <c r="AO51" s="13"/>
      <c r="AP51" s="13"/>
      <c r="AQ51" s="13"/>
      <c r="AR51" s="13">
        <f>0</f>
        <v>0</v>
      </c>
      <c r="AS51" s="13">
        <f>27</f>
        <v>27</v>
      </c>
      <c r="AT51" s="95">
        <f>3</f>
        <v>3</v>
      </c>
      <c r="AU51" s="96">
        <f t="shared" si="32"/>
        <v>27</v>
      </c>
      <c r="AV51" s="97">
        <f>IF(C51=2010, AU51/3,AU51)+AT51</f>
        <v>30</v>
      </c>
    </row>
    <row r="52" spans="1:67" s="3" customFormat="1" x14ac:dyDescent="0.25">
      <c r="A52" s="60" t="s">
        <v>530</v>
      </c>
      <c r="B52" s="65" t="s">
        <v>529</v>
      </c>
      <c r="C52" s="62">
        <v>2006</v>
      </c>
      <c r="D52" s="1">
        <f t="shared" si="18"/>
        <v>37</v>
      </c>
      <c r="E52" s="108">
        <f>9</f>
        <v>9</v>
      </c>
      <c r="F52" s="108"/>
      <c r="G52" s="120"/>
      <c r="H52" s="101"/>
      <c r="I52" s="287"/>
      <c r="J52" s="287">
        <f>6</f>
        <v>6</v>
      </c>
      <c r="K52" s="287">
        <f>0</f>
        <v>0</v>
      </c>
      <c r="L52" s="287"/>
      <c r="M52" s="287"/>
      <c r="N52" s="267">
        <f t="shared" si="19"/>
        <v>22</v>
      </c>
      <c r="O52" s="120"/>
      <c r="P52" s="96">
        <f t="shared" si="20"/>
        <v>28</v>
      </c>
      <c r="Q52" s="97">
        <f t="shared" si="21"/>
        <v>28</v>
      </c>
      <c r="R52" s="287"/>
      <c r="S52" s="201"/>
      <c r="T52" s="192"/>
      <c r="U52" s="183"/>
      <c r="V52" s="168"/>
      <c r="W52" s="50"/>
      <c r="X52" s="50"/>
      <c r="Y52" s="215">
        <f t="shared" si="28"/>
        <v>22</v>
      </c>
      <c r="Z52" s="120"/>
      <c r="AA52" s="96">
        <f t="shared" si="29"/>
        <v>22</v>
      </c>
      <c r="AB52" s="97">
        <f t="shared" si="33"/>
        <v>22</v>
      </c>
      <c r="AC52" s="22"/>
      <c r="AD52" s="50"/>
      <c r="AE52" s="252">
        <f>6</f>
        <v>6</v>
      </c>
      <c r="AF52" s="50"/>
      <c r="AG52" s="50"/>
      <c r="AH52" s="50">
        <f t="shared" si="30"/>
        <v>16</v>
      </c>
      <c r="AI52" s="120"/>
      <c r="AJ52" s="96">
        <f t="shared" si="31"/>
        <v>22</v>
      </c>
      <c r="AK52" s="97">
        <f>IF(C52=2007, AJ52/3,AJ52)+AI52</f>
        <v>22</v>
      </c>
      <c r="AL52" s="22"/>
      <c r="AM52" s="26"/>
      <c r="AN52" s="26"/>
      <c r="AO52" s="26"/>
      <c r="AP52" s="26"/>
      <c r="AQ52" s="26"/>
      <c r="AR52" s="26">
        <f>0</f>
        <v>0</v>
      </c>
      <c r="AS52" s="26">
        <f>48</f>
        <v>48</v>
      </c>
      <c r="AT52" s="95"/>
      <c r="AU52" s="96">
        <f t="shared" si="32"/>
        <v>48</v>
      </c>
      <c r="AV52" s="97">
        <f>IF(C52=2006, AU52/3,AU52)+AT52</f>
        <v>16</v>
      </c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</row>
    <row r="53" spans="1:67" s="3" customFormat="1" ht="16.5" customHeight="1" x14ac:dyDescent="0.25">
      <c r="A53" s="60" t="s">
        <v>633</v>
      </c>
      <c r="B53" s="65" t="s">
        <v>634</v>
      </c>
      <c r="C53" s="62"/>
      <c r="D53" s="1">
        <f t="shared" si="18"/>
        <v>6</v>
      </c>
      <c r="E53" s="108"/>
      <c r="F53" s="108"/>
      <c r="G53" s="120"/>
      <c r="H53" s="101"/>
      <c r="I53" s="287"/>
      <c r="J53" s="287"/>
      <c r="K53" s="287"/>
      <c r="L53" s="287"/>
      <c r="M53" s="287"/>
      <c r="N53" s="267">
        <f t="shared" si="19"/>
        <v>6</v>
      </c>
      <c r="O53" s="152"/>
      <c r="P53" s="96">
        <f t="shared" si="20"/>
        <v>6</v>
      </c>
      <c r="Q53" s="97">
        <f t="shared" si="21"/>
        <v>6</v>
      </c>
      <c r="R53" s="287"/>
      <c r="S53" s="201"/>
      <c r="T53" s="192"/>
      <c r="U53" s="183"/>
      <c r="V53" s="168"/>
      <c r="W53" s="50"/>
      <c r="X53" s="50"/>
      <c r="Y53" s="215">
        <f t="shared" si="28"/>
        <v>6</v>
      </c>
      <c r="Z53" s="120"/>
      <c r="AA53" s="96">
        <f t="shared" si="29"/>
        <v>6</v>
      </c>
      <c r="AB53" s="97">
        <f t="shared" si="33"/>
        <v>6</v>
      </c>
      <c r="AC53" s="22"/>
      <c r="AD53" s="50"/>
      <c r="AE53" s="50"/>
      <c r="AF53" s="50">
        <f>6</f>
        <v>6</v>
      </c>
      <c r="AG53" s="50"/>
      <c r="AH53" s="50"/>
      <c r="AI53" s="120"/>
      <c r="AJ53" s="96">
        <f t="shared" si="31"/>
        <v>6</v>
      </c>
      <c r="AK53" s="97">
        <f>IF(C53=2007, AJ53/3,AJ53)+AI53</f>
        <v>6</v>
      </c>
      <c r="AL53" s="22"/>
      <c r="AM53" s="289"/>
      <c r="AN53" s="289"/>
      <c r="AO53" s="289"/>
      <c r="AP53" s="289"/>
      <c r="AQ53" s="289"/>
      <c r="AR53" s="289"/>
      <c r="AS53" s="289"/>
      <c r="AT53" s="95"/>
      <c r="AU53" s="96"/>
      <c r="AV53" s="9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</row>
    <row r="54" spans="1:67" s="3" customFormat="1" x14ac:dyDescent="0.25">
      <c r="A54" s="60" t="s">
        <v>632</v>
      </c>
      <c r="B54" s="65" t="s">
        <v>64</v>
      </c>
      <c r="C54" s="62"/>
      <c r="D54" s="1">
        <f t="shared" si="18"/>
        <v>6</v>
      </c>
      <c r="E54" s="283"/>
      <c r="F54" s="278"/>
      <c r="G54" s="120"/>
      <c r="H54" s="280"/>
      <c r="I54" s="267"/>
      <c r="J54" s="267"/>
      <c r="K54" s="267"/>
      <c r="L54" s="267"/>
      <c r="M54" s="267"/>
      <c r="N54" s="267">
        <f t="shared" si="19"/>
        <v>6</v>
      </c>
      <c r="O54" s="152"/>
      <c r="P54" s="96">
        <f t="shared" si="20"/>
        <v>6</v>
      </c>
      <c r="Q54" s="97">
        <f t="shared" si="21"/>
        <v>6</v>
      </c>
      <c r="R54" s="267"/>
      <c r="S54" s="201"/>
      <c r="T54" s="192"/>
      <c r="U54" s="183"/>
      <c r="V54" s="168"/>
      <c r="W54" s="50"/>
      <c r="X54" s="50"/>
      <c r="Y54" s="215">
        <f t="shared" si="28"/>
        <v>6</v>
      </c>
      <c r="Z54" s="120"/>
      <c r="AA54" s="96">
        <f t="shared" si="29"/>
        <v>6</v>
      </c>
      <c r="AB54" s="97">
        <f t="shared" si="33"/>
        <v>6</v>
      </c>
      <c r="AC54" s="22"/>
      <c r="AD54" s="231"/>
      <c r="AE54" s="50"/>
      <c r="AF54" s="50">
        <f>6</f>
        <v>6</v>
      </c>
      <c r="AG54" s="50"/>
      <c r="AH54" s="50"/>
      <c r="AI54" s="120"/>
      <c r="AJ54" s="96">
        <f t="shared" si="31"/>
        <v>6</v>
      </c>
      <c r="AK54" s="97">
        <f>IF(C54=2007, AJ54/3,AJ54)+AI54</f>
        <v>6</v>
      </c>
      <c r="AL54" s="22"/>
      <c r="AM54" s="289"/>
      <c r="AN54" s="289"/>
      <c r="AO54" s="289"/>
      <c r="AP54" s="289"/>
      <c r="AQ54" s="289"/>
      <c r="AR54" s="289"/>
      <c r="AS54" s="289"/>
      <c r="AT54" s="95"/>
      <c r="AU54" s="96"/>
      <c r="AV54" s="9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</row>
    <row r="55" spans="1:67" s="3" customFormat="1" x14ac:dyDescent="0.25">
      <c r="A55" s="11" t="s">
        <v>274</v>
      </c>
      <c r="B55" s="19" t="s">
        <v>231</v>
      </c>
      <c r="C55" s="3">
        <v>2008</v>
      </c>
      <c r="D55" s="1">
        <f t="shared" si="18"/>
        <v>30.333333333333332</v>
      </c>
      <c r="E55" s="108"/>
      <c r="F55" s="108"/>
      <c r="G55" s="120"/>
      <c r="H55" s="101"/>
      <c r="I55" s="154"/>
      <c r="J55" s="154"/>
      <c r="K55" s="154"/>
      <c r="L55" s="154"/>
      <c r="M55" s="154"/>
      <c r="N55" s="267">
        <f t="shared" si="19"/>
        <v>30.333333333333332</v>
      </c>
      <c r="O55" s="122"/>
      <c r="P55" s="96">
        <f t="shared" si="20"/>
        <v>30.333333333333332</v>
      </c>
      <c r="Q55" s="97">
        <f t="shared" si="21"/>
        <v>30.333333333333332</v>
      </c>
      <c r="R55" s="154"/>
      <c r="S55" s="201"/>
      <c r="T55" s="192"/>
      <c r="U55" s="183"/>
      <c r="V55" s="168"/>
      <c r="W55" s="50"/>
      <c r="X55" s="50"/>
      <c r="Y55" s="215">
        <f t="shared" si="28"/>
        <v>91</v>
      </c>
      <c r="Z55" s="120"/>
      <c r="AA55" s="96">
        <f t="shared" si="29"/>
        <v>91</v>
      </c>
      <c r="AB55" s="97">
        <f t="shared" si="33"/>
        <v>30.333333333333332</v>
      </c>
      <c r="AC55" s="22"/>
      <c r="AD55" s="267"/>
      <c r="AE55" s="50"/>
      <c r="AF55" s="50"/>
      <c r="AG55" s="50"/>
      <c r="AH55" s="50">
        <f>AV55</f>
        <v>91</v>
      </c>
      <c r="AI55" s="120"/>
      <c r="AJ55" s="96">
        <f t="shared" si="31"/>
        <v>91</v>
      </c>
      <c r="AK55" s="97">
        <f>IF(C55=2011, AJ55/3,AJ55)+AI55</f>
        <v>91</v>
      </c>
      <c r="AL55" s="22"/>
      <c r="AM55" s="13"/>
      <c r="AN55" s="13"/>
      <c r="AO55" s="13">
        <f>24</f>
        <v>24</v>
      </c>
      <c r="AP55" s="13"/>
      <c r="AQ55" s="13"/>
      <c r="AR55" s="13"/>
      <c r="AS55" s="13">
        <f>67</f>
        <v>67</v>
      </c>
      <c r="AT55" s="95"/>
      <c r="AU55" s="96">
        <f>SUM(AM55:AS55)</f>
        <v>91</v>
      </c>
      <c r="AV55" s="97">
        <f>IF(C55=2010, AU55/3,AU55)+AT55</f>
        <v>91</v>
      </c>
    </row>
    <row r="56" spans="1:67" s="3" customFormat="1" x14ac:dyDescent="0.25">
      <c r="A56" s="77" t="s">
        <v>276</v>
      </c>
      <c r="B56" s="87" t="s">
        <v>231</v>
      </c>
      <c r="C56" s="3">
        <v>2008</v>
      </c>
      <c r="D56" s="1">
        <f t="shared" si="18"/>
        <v>6</v>
      </c>
      <c r="E56" s="283"/>
      <c r="F56" s="278"/>
      <c r="G56" s="120"/>
      <c r="H56" s="280"/>
      <c r="I56" s="154"/>
      <c r="J56" s="154"/>
      <c r="K56" s="154"/>
      <c r="L56" s="154"/>
      <c r="M56" s="154"/>
      <c r="N56" s="267">
        <f t="shared" si="19"/>
        <v>6</v>
      </c>
      <c r="O56" s="122"/>
      <c r="P56" s="96">
        <f t="shared" si="20"/>
        <v>6</v>
      </c>
      <c r="Q56" s="97">
        <f t="shared" si="21"/>
        <v>6</v>
      </c>
      <c r="R56" s="154"/>
      <c r="S56" s="201"/>
      <c r="T56" s="192"/>
      <c r="U56" s="183"/>
      <c r="V56" s="168"/>
      <c r="W56" s="50"/>
      <c r="X56" s="50"/>
      <c r="Y56" s="215">
        <f t="shared" si="28"/>
        <v>18</v>
      </c>
      <c r="Z56" s="120"/>
      <c r="AA56" s="96">
        <f t="shared" si="29"/>
        <v>18</v>
      </c>
      <c r="AB56" s="97">
        <f t="shared" si="33"/>
        <v>6</v>
      </c>
      <c r="AC56" s="22"/>
      <c r="AD56" s="267"/>
      <c r="AE56" s="50"/>
      <c r="AF56" s="50"/>
      <c r="AG56" s="50"/>
      <c r="AH56" s="50">
        <f>AV56</f>
        <v>18</v>
      </c>
      <c r="AI56" s="120"/>
      <c r="AJ56" s="96">
        <f t="shared" si="31"/>
        <v>18</v>
      </c>
      <c r="AK56" s="97">
        <f>IF(C56=2011, AJ56/3,AJ56)+AI56</f>
        <v>18</v>
      </c>
      <c r="AL56" s="22"/>
      <c r="AM56" s="13"/>
      <c r="AN56" s="13"/>
      <c r="AO56" s="13">
        <f>18</f>
        <v>18</v>
      </c>
      <c r="AP56" s="13"/>
      <c r="AQ56" s="13"/>
      <c r="AR56" s="13"/>
      <c r="AS56" s="13"/>
      <c r="AT56" s="95"/>
      <c r="AU56" s="96">
        <f>SUM(AM56:AS56)</f>
        <v>18</v>
      </c>
      <c r="AV56" s="97">
        <f>IF(C56=2010, AU56/3,AU56)+AT56</f>
        <v>18</v>
      </c>
    </row>
    <row r="57" spans="1:67" s="3" customFormat="1" x14ac:dyDescent="0.25">
      <c r="A57" s="60" t="s">
        <v>920</v>
      </c>
      <c r="B57" s="11" t="s">
        <v>994</v>
      </c>
      <c r="C57" s="62">
        <v>2009</v>
      </c>
      <c r="D57" s="1">
        <f t="shared" si="18"/>
        <v>1</v>
      </c>
      <c r="E57" s="283"/>
      <c r="F57" s="278"/>
      <c r="G57" s="120"/>
      <c r="H57" s="280"/>
      <c r="I57" s="261"/>
      <c r="J57" s="246"/>
      <c r="K57" s="241"/>
      <c r="L57" s="228"/>
      <c r="M57" s="215">
        <f>3</f>
        <v>3</v>
      </c>
      <c r="N57" s="267">
        <f t="shared" si="19"/>
        <v>0</v>
      </c>
      <c r="O57" s="120"/>
      <c r="P57" s="96">
        <f t="shared" si="20"/>
        <v>3</v>
      </c>
      <c r="Q57" s="97">
        <f t="shared" si="21"/>
        <v>1</v>
      </c>
      <c r="R57" s="215"/>
      <c r="S57" s="287"/>
      <c r="T57" s="287"/>
      <c r="U57" s="287">
        <f>0</f>
        <v>0</v>
      </c>
      <c r="V57" s="287"/>
      <c r="W57" s="287"/>
      <c r="X57" s="287"/>
      <c r="Y57" s="215">
        <f t="shared" si="28"/>
        <v>0</v>
      </c>
      <c r="Z57" s="120"/>
      <c r="AA57" s="96">
        <f t="shared" si="29"/>
        <v>0</v>
      </c>
      <c r="AB57" s="97">
        <f>IF(C57=2012, AA57/3,AA57)+Z57</f>
        <v>0</v>
      </c>
      <c r="AC57" s="22"/>
      <c r="AD57" s="287"/>
      <c r="AE57" s="287"/>
      <c r="AF57" s="287"/>
      <c r="AG57" s="287"/>
      <c r="AH57" s="287"/>
      <c r="AI57" s="120"/>
      <c r="AJ57" s="96">
        <f t="shared" si="31"/>
        <v>0</v>
      </c>
      <c r="AK57" s="97">
        <f>IF(C57=2011, AJ57/3,AJ57)+AI57</f>
        <v>0</v>
      </c>
      <c r="AL57" s="22"/>
      <c r="AM57" s="13"/>
      <c r="AN57" s="13"/>
      <c r="AO57" s="13"/>
      <c r="AP57" s="13"/>
      <c r="AQ57" s="13"/>
      <c r="AR57" s="13"/>
      <c r="AS57" s="13"/>
      <c r="AT57" s="95"/>
      <c r="AU57" s="96"/>
      <c r="AV57" s="9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</row>
    <row r="58" spans="1:67" s="3" customFormat="1" x14ac:dyDescent="0.25">
      <c r="A58" s="77" t="s">
        <v>359</v>
      </c>
      <c r="B58" s="87" t="s">
        <v>7</v>
      </c>
      <c r="C58" s="3">
        <v>2009</v>
      </c>
      <c r="D58" s="1">
        <f t="shared" si="18"/>
        <v>15</v>
      </c>
      <c r="E58" s="283"/>
      <c r="F58" s="278"/>
      <c r="G58" s="120"/>
      <c r="H58" s="290"/>
      <c r="I58" s="154"/>
      <c r="J58" s="154"/>
      <c r="K58" s="154"/>
      <c r="L58" s="154"/>
      <c r="M58" s="154"/>
      <c r="N58" s="267">
        <f t="shared" si="19"/>
        <v>45</v>
      </c>
      <c r="O58" s="120"/>
      <c r="P58" s="96">
        <f t="shared" si="20"/>
        <v>45</v>
      </c>
      <c r="Q58" s="97">
        <f t="shared" si="21"/>
        <v>15</v>
      </c>
      <c r="R58" s="154"/>
      <c r="S58" s="201"/>
      <c r="T58" s="192"/>
      <c r="U58" s="183"/>
      <c r="V58" s="168"/>
      <c r="W58" s="50"/>
      <c r="X58" s="50"/>
      <c r="Y58" s="215">
        <f t="shared" si="28"/>
        <v>45</v>
      </c>
      <c r="Z58" s="120"/>
      <c r="AA58" s="96">
        <f t="shared" si="29"/>
        <v>45</v>
      </c>
      <c r="AB58" s="97">
        <f>IF(C58=2012, AA58/3,AA58)+Z58</f>
        <v>45</v>
      </c>
      <c r="AC58" s="22"/>
      <c r="AD58" s="267"/>
      <c r="AE58" s="50"/>
      <c r="AF58" s="50">
        <f>39</f>
        <v>39</v>
      </c>
      <c r="AG58" s="50"/>
      <c r="AH58" s="50">
        <f>AV58</f>
        <v>6</v>
      </c>
      <c r="AI58" s="120"/>
      <c r="AJ58" s="96">
        <f t="shared" si="31"/>
        <v>45</v>
      </c>
      <c r="AK58" s="97">
        <f>IF(C58=2011, AJ58/3,AJ58)+AI58</f>
        <v>45</v>
      </c>
      <c r="AL58" s="22"/>
      <c r="AM58" s="13"/>
      <c r="AN58" s="13"/>
      <c r="AO58" s="13"/>
      <c r="AP58" s="13">
        <f>0+6</f>
        <v>6</v>
      </c>
      <c r="AQ58" s="13"/>
      <c r="AR58" s="13">
        <f>0</f>
        <v>0</v>
      </c>
      <c r="AS58" s="13"/>
      <c r="AT58" s="95"/>
      <c r="AU58" s="96">
        <f>SUM(AM58:AS58)</f>
        <v>6</v>
      </c>
      <c r="AV58" s="97">
        <f>IF(C58=2010, AU58/3,AU58)+AT58</f>
        <v>6</v>
      </c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</row>
    <row r="59" spans="1:67" s="3" customFormat="1" x14ac:dyDescent="0.25">
      <c r="A59" s="12" t="s">
        <v>1201</v>
      </c>
      <c r="B59" s="65" t="s">
        <v>87</v>
      </c>
      <c r="C59" s="4">
        <v>2008</v>
      </c>
      <c r="D59" s="1">
        <f t="shared" si="18"/>
        <v>18</v>
      </c>
      <c r="E59" s="154"/>
      <c r="F59" s="154"/>
      <c r="G59" s="120"/>
      <c r="H59" s="13"/>
      <c r="I59" s="267"/>
      <c r="J59" s="267"/>
      <c r="K59" s="267"/>
      <c r="L59" s="267">
        <f>18</f>
        <v>18</v>
      </c>
      <c r="M59" s="267"/>
      <c r="N59" s="267">
        <f t="shared" si="19"/>
        <v>0</v>
      </c>
      <c r="O59" s="152"/>
      <c r="P59" s="96">
        <f t="shared" si="20"/>
        <v>18</v>
      </c>
      <c r="Q59" s="97">
        <f t="shared" si="21"/>
        <v>18</v>
      </c>
      <c r="R59" s="267"/>
      <c r="S59" s="159"/>
      <c r="T59" s="159"/>
      <c r="U59" s="159"/>
      <c r="V59" s="159"/>
      <c r="W59" s="159"/>
      <c r="X59" s="159"/>
      <c r="Y59" s="159"/>
      <c r="Z59" s="26"/>
      <c r="AA59" s="96">
        <f t="shared" si="29"/>
        <v>0</v>
      </c>
      <c r="AB59" s="97">
        <f>IF(C59=2008, AA59/3,AA59)+Z59</f>
        <v>0</v>
      </c>
      <c r="AC59" s="26"/>
      <c r="AD59" s="26"/>
      <c r="AE59" s="26"/>
      <c r="AF59" s="26"/>
      <c r="AG59" s="26"/>
      <c r="AH59" s="26"/>
      <c r="AI59" s="26"/>
      <c r="AJ59" s="4"/>
      <c r="AK59" s="4"/>
      <c r="AL59" s="26"/>
      <c r="AM59" s="26"/>
      <c r="AN59" s="26"/>
      <c r="AO59" s="26"/>
      <c r="AP59" s="26"/>
      <c r="AQ59" s="26"/>
      <c r="AR59" s="26"/>
      <c r="AS59" s="26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</row>
    <row r="60" spans="1:67" s="3" customFormat="1" x14ac:dyDescent="0.25">
      <c r="A60" s="60" t="s">
        <v>970</v>
      </c>
      <c r="B60" s="65" t="s">
        <v>63</v>
      </c>
      <c r="C60" s="62">
        <v>2008</v>
      </c>
      <c r="D60" s="1">
        <f t="shared" si="18"/>
        <v>4.666666666666667</v>
      </c>
      <c r="E60" s="283"/>
      <c r="F60" s="278"/>
      <c r="G60" s="120"/>
      <c r="H60" s="280"/>
      <c r="I60" s="261"/>
      <c r="J60" s="256"/>
      <c r="K60" s="256"/>
      <c r="L60" s="256"/>
      <c r="M60" s="256"/>
      <c r="N60" s="267">
        <f t="shared" si="19"/>
        <v>4.666666666666667</v>
      </c>
      <c r="O60" s="120"/>
      <c r="P60" s="96">
        <f t="shared" si="20"/>
        <v>4.666666666666667</v>
      </c>
      <c r="Q60" s="97">
        <f t="shared" si="21"/>
        <v>4.666666666666667</v>
      </c>
      <c r="R60" s="256"/>
      <c r="S60" s="201"/>
      <c r="T60" s="192">
        <f>11+3</f>
        <v>14</v>
      </c>
      <c r="U60" s="183"/>
      <c r="V60" s="168"/>
      <c r="W60" s="50"/>
      <c r="X60" s="50"/>
      <c r="Y60" s="215">
        <f t="shared" ref="Y60:Y70" si="34">AK60</f>
        <v>0</v>
      </c>
      <c r="Z60" s="120"/>
      <c r="AA60" s="96">
        <f t="shared" si="29"/>
        <v>14</v>
      </c>
      <c r="AB60" s="97">
        <f>IF(C60=2008, AA60/3,AA60)+Z60</f>
        <v>4.666666666666667</v>
      </c>
      <c r="AC60" s="22"/>
      <c r="AD60" s="252"/>
      <c r="AE60" s="50"/>
      <c r="AF60" s="50"/>
      <c r="AG60" s="50"/>
      <c r="AH60" s="50"/>
      <c r="AI60" s="120"/>
      <c r="AJ60" s="96"/>
      <c r="AK60" s="97"/>
      <c r="AL60" s="22"/>
      <c r="AM60" s="13"/>
      <c r="AN60" s="13"/>
      <c r="AO60" s="13"/>
      <c r="AP60" s="13"/>
      <c r="AQ60" s="13"/>
      <c r="AR60" s="13"/>
      <c r="AS60" s="13"/>
      <c r="AT60" s="95"/>
      <c r="AU60" s="96"/>
      <c r="AV60" s="9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</row>
    <row r="61" spans="1:67" s="3" customFormat="1" x14ac:dyDescent="0.25">
      <c r="A61" s="11" t="s">
        <v>628</v>
      </c>
      <c r="B61" s="12" t="s">
        <v>629</v>
      </c>
      <c r="C61" s="3">
        <v>2004</v>
      </c>
      <c r="D61" s="1">
        <f t="shared" si="18"/>
        <v>193</v>
      </c>
      <c r="E61" s="287"/>
      <c r="F61" s="287"/>
      <c r="G61" s="120"/>
      <c r="H61" s="290"/>
      <c r="I61" s="261"/>
      <c r="J61" s="246"/>
      <c r="K61" s="241"/>
      <c r="L61" s="231"/>
      <c r="M61" s="231"/>
      <c r="N61" s="267">
        <f t="shared" si="19"/>
        <v>193</v>
      </c>
      <c r="O61" s="120"/>
      <c r="P61" s="96">
        <f t="shared" si="20"/>
        <v>193</v>
      </c>
      <c r="Q61" s="97">
        <f t="shared" si="21"/>
        <v>193</v>
      </c>
      <c r="R61" s="231"/>
      <c r="S61" s="159"/>
      <c r="T61" s="159"/>
      <c r="U61" s="159"/>
      <c r="V61" s="159"/>
      <c r="W61" s="159"/>
      <c r="X61" s="159"/>
      <c r="Y61" s="215">
        <f t="shared" si="34"/>
        <v>193</v>
      </c>
      <c r="Z61" s="120"/>
      <c r="AA61" s="96">
        <f t="shared" si="29"/>
        <v>193</v>
      </c>
      <c r="AB61" s="97">
        <f>IF(C61=2008, AA61/3,AA61)+Z61</f>
        <v>193</v>
      </c>
      <c r="AC61" s="26"/>
      <c r="AD61" s="26"/>
      <c r="AE61" s="26">
        <f>6</f>
        <v>6</v>
      </c>
      <c r="AF61" s="26">
        <f>54</f>
        <v>54</v>
      </c>
      <c r="AG61" s="26"/>
      <c r="AH61" s="26">
        <f>133</f>
        <v>133</v>
      </c>
      <c r="AI61" s="120"/>
      <c r="AJ61" s="96">
        <f t="shared" ref="AJ61:AJ70" si="35">SUM(AD61:AH61)</f>
        <v>193</v>
      </c>
      <c r="AK61" s="97">
        <f>IF(C61=2007, AJ61/3,AJ61)+AI61</f>
        <v>193</v>
      </c>
      <c r="AL61" s="26"/>
      <c r="AM61" s="26"/>
      <c r="AN61" s="26"/>
      <c r="AO61" s="26"/>
      <c r="AP61" s="26"/>
      <c r="AQ61" s="26"/>
      <c r="AR61" s="26"/>
      <c r="AS61" s="26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</row>
    <row r="62" spans="1:67" s="3" customFormat="1" x14ac:dyDescent="0.25">
      <c r="A62" s="77" t="s">
        <v>504</v>
      </c>
      <c r="B62" s="87" t="s">
        <v>111</v>
      </c>
      <c r="C62" s="3">
        <v>2009</v>
      </c>
      <c r="D62" s="1">
        <f t="shared" si="18"/>
        <v>11</v>
      </c>
      <c r="E62" s="283"/>
      <c r="F62" s="278"/>
      <c r="G62" s="120"/>
      <c r="H62" s="13"/>
      <c r="I62" s="261"/>
      <c r="J62" s="246"/>
      <c r="K62" s="241"/>
      <c r="L62" s="228"/>
      <c r="M62" s="215"/>
      <c r="N62" s="267">
        <f t="shared" si="19"/>
        <v>33</v>
      </c>
      <c r="O62" s="120"/>
      <c r="P62" s="96">
        <f t="shared" si="20"/>
        <v>33</v>
      </c>
      <c r="Q62" s="97">
        <f t="shared" si="21"/>
        <v>11</v>
      </c>
      <c r="R62" s="215"/>
      <c r="S62" s="201"/>
      <c r="T62" s="192"/>
      <c r="U62" s="183"/>
      <c r="V62" s="168"/>
      <c r="W62" s="50"/>
      <c r="X62" s="50"/>
      <c r="Y62" s="215">
        <f t="shared" si="34"/>
        <v>33</v>
      </c>
      <c r="Z62" s="120"/>
      <c r="AA62" s="96">
        <f t="shared" si="29"/>
        <v>33</v>
      </c>
      <c r="AB62" s="97">
        <f>IF(C62=2012, AA62/3,AA62)+Z62</f>
        <v>33</v>
      </c>
      <c r="AC62" s="22"/>
      <c r="AD62" s="50"/>
      <c r="AE62" s="50">
        <f>11+21</f>
        <v>32</v>
      </c>
      <c r="AF62" s="50">
        <f>0</f>
        <v>0</v>
      </c>
      <c r="AG62" s="50">
        <f>0</f>
        <v>0</v>
      </c>
      <c r="AH62" s="50">
        <f>AV62</f>
        <v>1</v>
      </c>
      <c r="AI62" s="120"/>
      <c r="AJ62" s="96">
        <f t="shared" si="35"/>
        <v>33</v>
      </c>
      <c r="AK62" s="97">
        <f>IF(C62=2011, AJ62/3,AJ62)+AI62</f>
        <v>33</v>
      </c>
      <c r="AL62" s="22"/>
      <c r="AM62" s="13"/>
      <c r="AN62" s="13"/>
      <c r="AO62" s="13"/>
      <c r="AP62" s="13"/>
      <c r="AQ62" s="13"/>
      <c r="AR62" s="13">
        <f>1</f>
        <v>1</v>
      </c>
      <c r="AS62" s="13"/>
      <c r="AT62" s="95"/>
      <c r="AU62" s="96">
        <f>SUM(AM62:AS62)</f>
        <v>1</v>
      </c>
      <c r="AV62" s="97">
        <f>IF(C62=2010, AU62/3,AU62)+AT62</f>
        <v>1</v>
      </c>
    </row>
    <row r="63" spans="1:67" s="52" customFormat="1" x14ac:dyDescent="0.25">
      <c r="A63" s="60" t="s">
        <v>173</v>
      </c>
      <c r="B63" s="65" t="s">
        <v>86</v>
      </c>
      <c r="C63" s="62">
        <v>2008</v>
      </c>
      <c r="D63" s="1">
        <f t="shared" si="18"/>
        <v>38</v>
      </c>
      <c r="E63" s="287"/>
      <c r="F63" s="287"/>
      <c r="G63" s="120"/>
      <c r="H63" s="280"/>
      <c r="I63" s="261"/>
      <c r="J63" s="246"/>
      <c r="K63" s="241"/>
      <c r="L63" s="228"/>
      <c r="M63" s="215"/>
      <c r="N63" s="267">
        <f t="shared" si="19"/>
        <v>38</v>
      </c>
      <c r="O63" s="152"/>
      <c r="P63" s="96">
        <f t="shared" si="20"/>
        <v>38</v>
      </c>
      <c r="Q63" s="97">
        <f t="shared" si="21"/>
        <v>38</v>
      </c>
      <c r="R63" s="215"/>
      <c r="S63" s="201"/>
      <c r="T63" s="192"/>
      <c r="U63" s="183"/>
      <c r="V63" s="168"/>
      <c r="W63" s="50"/>
      <c r="X63" s="50"/>
      <c r="Y63" s="215">
        <f t="shared" si="34"/>
        <v>114</v>
      </c>
      <c r="Z63" s="120"/>
      <c r="AA63" s="96">
        <f t="shared" si="29"/>
        <v>114</v>
      </c>
      <c r="AB63" s="97">
        <f>IF(C63=2008, AA63/3,AA63)+Z63</f>
        <v>38</v>
      </c>
      <c r="AC63" s="22"/>
      <c r="AD63" s="267"/>
      <c r="AE63" s="50"/>
      <c r="AF63" s="50"/>
      <c r="AG63" s="50"/>
      <c r="AH63" s="50">
        <f>AV63</f>
        <v>114</v>
      </c>
      <c r="AI63" s="120"/>
      <c r="AJ63" s="96">
        <f t="shared" si="35"/>
        <v>114</v>
      </c>
      <c r="AK63" s="97">
        <f>IF(C63=2011, AJ63/3,AJ63)+AI63</f>
        <v>114</v>
      </c>
      <c r="AL63" s="22"/>
      <c r="AM63" s="13"/>
      <c r="AN63" s="13">
        <v>42</v>
      </c>
      <c r="AO63" s="13"/>
      <c r="AP63" s="13"/>
      <c r="AQ63" s="13"/>
      <c r="AR63" s="13">
        <f>66</f>
        <v>66</v>
      </c>
      <c r="AS63" s="13">
        <f>3</f>
        <v>3</v>
      </c>
      <c r="AT63" s="95">
        <f>3</f>
        <v>3</v>
      </c>
      <c r="AU63" s="96">
        <f>SUM(AM63:AS63)</f>
        <v>111</v>
      </c>
      <c r="AV63" s="97">
        <f>IF(C63=2010, AU63/3,AU63)+AT63</f>
        <v>114</v>
      </c>
    </row>
    <row r="64" spans="1:67" s="3" customFormat="1" x14ac:dyDescent="0.25">
      <c r="A64" s="60" t="s">
        <v>169</v>
      </c>
      <c r="B64" s="65" t="s">
        <v>86</v>
      </c>
      <c r="C64" s="62">
        <v>2009</v>
      </c>
      <c r="D64" s="1">
        <f t="shared" si="18"/>
        <v>79.666666666666671</v>
      </c>
      <c r="E64" s="283"/>
      <c r="F64" s="278"/>
      <c r="G64" s="120"/>
      <c r="H64" s="280"/>
      <c r="I64" s="287"/>
      <c r="J64" s="287"/>
      <c r="K64" s="287"/>
      <c r="L64" s="287"/>
      <c r="M64" s="287"/>
      <c r="N64" s="267">
        <f t="shared" si="19"/>
        <v>239</v>
      </c>
      <c r="O64" s="120"/>
      <c r="P64" s="96">
        <f t="shared" si="20"/>
        <v>239</v>
      </c>
      <c r="Q64" s="97">
        <f t="shared" si="21"/>
        <v>79.666666666666671</v>
      </c>
      <c r="R64" s="287"/>
      <c r="S64" s="201"/>
      <c r="T64" s="192"/>
      <c r="U64" s="183"/>
      <c r="V64" s="168"/>
      <c r="W64" s="50"/>
      <c r="X64" s="50"/>
      <c r="Y64" s="215">
        <f t="shared" si="34"/>
        <v>239</v>
      </c>
      <c r="Z64" s="120"/>
      <c r="AA64" s="96">
        <f t="shared" si="29"/>
        <v>239</v>
      </c>
      <c r="AB64" s="97">
        <f>IF(C64=2012, AA64/3,AA64)+Z64</f>
        <v>239</v>
      </c>
      <c r="AC64" s="22"/>
      <c r="AD64" s="267"/>
      <c r="AE64" s="50"/>
      <c r="AF64" s="50"/>
      <c r="AG64" s="50"/>
      <c r="AH64" s="50">
        <f>AV64</f>
        <v>239</v>
      </c>
      <c r="AI64" s="120"/>
      <c r="AJ64" s="96">
        <f t="shared" si="35"/>
        <v>239</v>
      </c>
      <c r="AK64" s="97">
        <f>IF(C64=2011, AJ64/3,AJ64)+AI64</f>
        <v>239</v>
      </c>
      <c r="AL64" s="22"/>
      <c r="AM64" s="13"/>
      <c r="AN64" s="13">
        <v>63</v>
      </c>
      <c r="AO64" s="13"/>
      <c r="AP64" s="13">
        <f>42</f>
        <v>42</v>
      </c>
      <c r="AQ64" s="13"/>
      <c r="AR64" s="13">
        <f>84</f>
        <v>84</v>
      </c>
      <c r="AS64" s="13">
        <f>47</f>
        <v>47</v>
      </c>
      <c r="AT64" s="95">
        <f>3</f>
        <v>3</v>
      </c>
      <c r="AU64" s="96">
        <f>SUM(AM64:AS64)</f>
        <v>236</v>
      </c>
      <c r="AV64" s="97">
        <f>IF(C64=2010, AU64/3,AU64)+AT64</f>
        <v>239</v>
      </c>
    </row>
    <row r="65" spans="1:67" s="52" customFormat="1" x14ac:dyDescent="0.25">
      <c r="A65" s="126" t="s">
        <v>1050</v>
      </c>
      <c r="B65" s="11" t="s">
        <v>994</v>
      </c>
      <c r="C65" s="62">
        <v>2009</v>
      </c>
      <c r="D65" s="1">
        <f t="shared" si="18"/>
        <v>0</v>
      </c>
      <c r="E65" s="108"/>
      <c r="F65" s="108"/>
      <c r="G65" s="120"/>
      <c r="H65" s="101"/>
      <c r="I65" s="267"/>
      <c r="J65" s="267"/>
      <c r="K65" s="267"/>
      <c r="L65" s="267"/>
      <c r="M65" s="267"/>
      <c r="N65" s="267">
        <f t="shared" si="19"/>
        <v>0</v>
      </c>
      <c r="O65" s="120"/>
      <c r="P65" s="96">
        <f t="shared" si="20"/>
        <v>0</v>
      </c>
      <c r="Q65" s="97">
        <f t="shared" si="21"/>
        <v>0</v>
      </c>
      <c r="R65" s="267"/>
      <c r="S65" s="201">
        <f>0</f>
        <v>0</v>
      </c>
      <c r="T65" s="192"/>
      <c r="U65" s="183"/>
      <c r="V65" s="168"/>
      <c r="W65" s="50"/>
      <c r="X65" s="50"/>
      <c r="Y65" s="215">
        <f t="shared" si="34"/>
        <v>0</v>
      </c>
      <c r="Z65" s="120"/>
      <c r="AA65" s="96">
        <f t="shared" si="29"/>
        <v>0</v>
      </c>
      <c r="AB65" s="97">
        <f>IF(C65=2012, AA65/3,AA65)+Z65</f>
        <v>0</v>
      </c>
      <c r="AC65" s="22"/>
      <c r="AD65" s="231"/>
      <c r="AE65" s="50"/>
      <c r="AF65" s="50"/>
      <c r="AG65" s="50"/>
      <c r="AH65" s="50"/>
      <c r="AI65" s="120"/>
      <c r="AJ65" s="96">
        <f t="shared" si="35"/>
        <v>0</v>
      </c>
      <c r="AK65" s="97">
        <f>IF(C65=2011, AJ65/3,AJ65)+AI65</f>
        <v>0</v>
      </c>
      <c r="AL65" s="22"/>
      <c r="AM65" s="13"/>
      <c r="AN65" s="13"/>
      <c r="AO65" s="13"/>
      <c r="AP65" s="13"/>
      <c r="AQ65" s="13"/>
      <c r="AR65" s="13"/>
      <c r="AS65" s="13"/>
      <c r="AT65" s="95"/>
      <c r="AU65" s="96"/>
      <c r="AV65" s="9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</row>
    <row r="66" spans="1:67" s="3" customFormat="1" x14ac:dyDescent="0.25">
      <c r="A66" s="77" t="s">
        <v>593</v>
      </c>
      <c r="B66" s="87" t="s">
        <v>583</v>
      </c>
      <c r="C66" s="3">
        <v>2009</v>
      </c>
      <c r="D66" s="1">
        <f t="shared" si="18"/>
        <v>2</v>
      </c>
      <c r="E66" s="283"/>
      <c r="F66" s="278"/>
      <c r="G66" s="120"/>
      <c r="H66" s="13"/>
      <c r="I66" s="287"/>
      <c r="J66" s="287"/>
      <c r="K66" s="287"/>
      <c r="L66" s="287"/>
      <c r="M66" s="287"/>
      <c r="N66" s="267">
        <f t="shared" si="19"/>
        <v>6</v>
      </c>
      <c r="O66" s="120"/>
      <c r="P66" s="96">
        <f t="shared" si="20"/>
        <v>6</v>
      </c>
      <c r="Q66" s="97">
        <f t="shared" si="21"/>
        <v>2</v>
      </c>
      <c r="R66" s="287"/>
      <c r="S66" s="201"/>
      <c r="T66" s="192"/>
      <c r="U66" s="183"/>
      <c r="V66" s="168"/>
      <c r="W66" s="50"/>
      <c r="X66" s="50">
        <f>3</f>
        <v>3</v>
      </c>
      <c r="Y66" s="215">
        <f t="shared" si="34"/>
        <v>3</v>
      </c>
      <c r="Z66" s="120"/>
      <c r="AA66" s="96">
        <f t="shared" si="29"/>
        <v>6</v>
      </c>
      <c r="AB66" s="97">
        <f>IF(C66=2012, AA66/3,AA66)+Z66</f>
        <v>6</v>
      </c>
      <c r="AC66" s="22"/>
      <c r="AD66" s="215"/>
      <c r="AE66" s="50"/>
      <c r="AF66" s="50"/>
      <c r="AG66" s="50">
        <f>3</f>
        <v>3</v>
      </c>
      <c r="AH66" s="50"/>
      <c r="AI66" s="120"/>
      <c r="AJ66" s="96">
        <f t="shared" si="35"/>
        <v>3</v>
      </c>
      <c r="AK66" s="97">
        <f>IF(C66=2011, AJ66/3,AJ66)+AI66</f>
        <v>3</v>
      </c>
      <c r="AL66" s="22"/>
      <c r="AM66" s="13"/>
      <c r="AN66" s="13"/>
      <c r="AO66" s="13"/>
      <c r="AP66" s="13"/>
      <c r="AQ66" s="13"/>
      <c r="AR66" s="13"/>
      <c r="AS66" s="13"/>
      <c r="AT66" s="95"/>
      <c r="AU66" s="96"/>
      <c r="AV66" s="97"/>
    </row>
    <row r="67" spans="1:67" s="3" customFormat="1" x14ac:dyDescent="0.25">
      <c r="A67" s="77" t="s">
        <v>350</v>
      </c>
      <c r="B67" s="87" t="s">
        <v>86</v>
      </c>
      <c r="C67" s="3">
        <v>2007</v>
      </c>
      <c r="D67" s="1">
        <f t="shared" si="18"/>
        <v>0</v>
      </c>
      <c r="E67" s="154"/>
      <c r="F67" s="154"/>
      <c r="G67" s="120"/>
      <c r="H67" s="280"/>
      <c r="I67" s="267"/>
      <c r="J67" s="267"/>
      <c r="K67" s="267"/>
      <c r="L67" s="267"/>
      <c r="M67" s="267"/>
      <c r="N67" s="267">
        <f t="shared" si="19"/>
        <v>0</v>
      </c>
      <c r="O67" s="152"/>
      <c r="P67" s="96">
        <f t="shared" si="20"/>
        <v>0</v>
      </c>
      <c r="Q67" s="97">
        <f t="shared" si="21"/>
        <v>0</v>
      </c>
      <c r="R67" s="267"/>
      <c r="S67" s="201"/>
      <c r="T67" s="192"/>
      <c r="U67" s="183"/>
      <c r="V67" s="168"/>
      <c r="W67" s="50"/>
      <c r="X67" s="267"/>
      <c r="Y67" s="215">
        <f t="shared" si="34"/>
        <v>0</v>
      </c>
      <c r="Z67" s="120"/>
      <c r="AA67" s="96">
        <f t="shared" si="29"/>
        <v>0</v>
      </c>
      <c r="AB67" s="97">
        <f>IF(C67=2008, AA67/3,AA67)+Z67</f>
        <v>0</v>
      </c>
      <c r="AC67" s="22"/>
      <c r="AD67" s="231"/>
      <c r="AE67" s="50"/>
      <c r="AF67" s="50"/>
      <c r="AG67" s="50"/>
      <c r="AH67" s="50">
        <f>AV67</f>
        <v>0</v>
      </c>
      <c r="AI67" s="120"/>
      <c r="AJ67" s="96">
        <f t="shared" si="35"/>
        <v>0</v>
      </c>
      <c r="AK67" s="97">
        <f>IF(C67=2007, AJ67/3,AJ67)+AI67</f>
        <v>0</v>
      </c>
      <c r="AL67" s="22"/>
      <c r="AM67" s="13"/>
      <c r="AN67" s="13"/>
      <c r="AO67" s="13"/>
      <c r="AP67" s="13">
        <f>0</f>
        <v>0</v>
      </c>
      <c r="AQ67" s="13"/>
      <c r="AR67" s="13"/>
      <c r="AS67" s="13"/>
      <c r="AT67" s="95"/>
      <c r="AU67" s="96">
        <f>SUM(AM67:AS67)</f>
        <v>0</v>
      </c>
      <c r="AV67" s="97">
        <f>IF(C67=2010, AU67/3,AU67)+AT67</f>
        <v>0</v>
      </c>
    </row>
    <row r="68" spans="1:67" s="3" customFormat="1" x14ac:dyDescent="0.25">
      <c r="A68" s="60" t="s">
        <v>218</v>
      </c>
      <c r="B68" s="65" t="s">
        <v>87</v>
      </c>
      <c r="C68" s="62">
        <v>2001</v>
      </c>
      <c r="D68" s="1">
        <f t="shared" si="18"/>
        <v>3</v>
      </c>
      <c r="E68" s="287"/>
      <c r="F68" s="287"/>
      <c r="G68" s="120"/>
      <c r="H68" s="280"/>
      <c r="I68" s="154"/>
      <c r="J68" s="154"/>
      <c r="K68" s="154"/>
      <c r="L68" s="154"/>
      <c r="M68" s="154"/>
      <c r="N68" s="267">
        <f t="shared" si="19"/>
        <v>3</v>
      </c>
      <c r="O68" s="122"/>
      <c r="P68" s="96">
        <f t="shared" si="20"/>
        <v>3</v>
      </c>
      <c r="Q68" s="97">
        <f t="shared" si="21"/>
        <v>3</v>
      </c>
      <c r="R68" s="154"/>
      <c r="S68" s="201"/>
      <c r="T68" s="192"/>
      <c r="U68" s="183"/>
      <c r="V68" s="168"/>
      <c r="W68" s="50"/>
      <c r="X68" s="50"/>
      <c r="Y68" s="215">
        <f t="shared" si="34"/>
        <v>3</v>
      </c>
      <c r="Z68" s="120"/>
      <c r="AA68" s="96">
        <f t="shared" si="29"/>
        <v>3</v>
      </c>
      <c r="AB68" s="97">
        <f>IF(C68=2008, AA68/3,AA68)+Z68</f>
        <v>3</v>
      </c>
      <c r="AC68" s="22"/>
      <c r="AD68" s="231"/>
      <c r="AE68" s="50"/>
      <c r="AF68" s="50"/>
      <c r="AG68" s="50"/>
      <c r="AH68" s="50">
        <f>AV68</f>
        <v>3</v>
      </c>
      <c r="AI68" s="120"/>
      <c r="AJ68" s="96">
        <f t="shared" si="35"/>
        <v>3</v>
      </c>
      <c r="AK68" s="97">
        <f>IF(C68=2007, AJ68/3,AJ68)+AI68</f>
        <v>3</v>
      </c>
      <c r="AL68" s="22"/>
      <c r="AM68" s="26"/>
      <c r="AN68" s="26">
        <f>3</f>
        <v>3</v>
      </c>
      <c r="AO68" s="26"/>
      <c r="AP68" s="26"/>
      <c r="AQ68" s="26"/>
      <c r="AR68" s="26"/>
      <c r="AS68" s="26"/>
      <c r="AT68" s="95"/>
      <c r="AU68" s="96">
        <f>SUM(AM68:AS68)</f>
        <v>3</v>
      </c>
      <c r="AV68" s="97">
        <f>IF(C68=2006, AU68/3,AU68)+AT68</f>
        <v>3</v>
      </c>
    </row>
    <row r="69" spans="1:67" s="3" customFormat="1" x14ac:dyDescent="0.25">
      <c r="A69" s="60" t="s">
        <v>536</v>
      </c>
      <c r="B69" s="65" t="s">
        <v>529</v>
      </c>
      <c r="C69" s="62">
        <v>2009</v>
      </c>
      <c r="D69" s="1">
        <f t="shared" si="18"/>
        <v>56</v>
      </c>
      <c r="E69" s="154">
        <f>9</f>
        <v>9</v>
      </c>
      <c r="F69" s="154"/>
      <c r="G69" s="120"/>
      <c r="H69" s="280"/>
      <c r="I69" s="267"/>
      <c r="J69" s="267">
        <f>33</f>
        <v>33</v>
      </c>
      <c r="K69" s="267">
        <f>9</f>
        <v>9</v>
      </c>
      <c r="L69" s="267"/>
      <c r="M69" s="267"/>
      <c r="N69" s="267">
        <f t="shared" si="19"/>
        <v>81</v>
      </c>
      <c r="O69" s="120">
        <f>6</f>
        <v>6</v>
      </c>
      <c r="P69" s="96">
        <f t="shared" si="20"/>
        <v>123</v>
      </c>
      <c r="Q69" s="97">
        <f t="shared" si="21"/>
        <v>47</v>
      </c>
      <c r="R69" s="267"/>
      <c r="S69" s="267"/>
      <c r="T69" s="267"/>
      <c r="U69" s="267"/>
      <c r="V69" s="267"/>
      <c r="W69" s="267"/>
      <c r="X69" s="267"/>
      <c r="Y69" s="215">
        <f t="shared" si="34"/>
        <v>81</v>
      </c>
      <c r="Z69" s="120"/>
      <c r="AA69" s="96">
        <f t="shared" si="29"/>
        <v>81</v>
      </c>
      <c r="AB69" s="97">
        <f>IF(C69=2012, AA69/3,AA69)+Z69</f>
        <v>81</v>
      </c>
      <c r="AC69" s="22"/>
      <c r="AD69" s="267"/>
      <c r="AE69" s="50">
        <f>38</f>
        <v>38</v>
      </c>
      <c r="AF69" s="50"/>
      <c r="AG69" s="50"/>
      <c r="AH69" s="50">
        <f>AV69</f>
        <v>43</v>
      </c>
      <c r="AI69" s="120"/>
      <c r="AJ69" s="96">
        <f t="shared" si="35"/>
        <v>81</v>
      </c>
      <c r="AK69" s="97">
        <f>IF(C69=2011, AJ69/3,AJ69)+AI69</f>
        <v>81</v>
      </c>
      <c r="AL69" s="22"/>
      <c r="AM69" s="13"/>
      <c r="AN69" s="13"/>
      <c r="AO69" s="13"/>
      <c r="AP69" s="13"/>
      <c r="AQ69" s="13"/>
      <c r="AR69" s="13">
        <f>0</f>
        <v>0</v>
      </c>
      <c r="AS69" s="13">
        <f>43</f>
        <v>43</v>
      </c>
      <c r="AT69" s="95"/>
      <c r="AU69" s="96">
        <f>SUM(AM69:AS69)</f>
        <v>43</v>
      </c>
      <c r="AV69" s="97">
        <f>IF(C69=2010, AU69/3,AU69)+AT69</f>
        <v>43</v>
      </c>
    </row>
    <row r="70" spans="1:67" s="17" customFormat="1" x14ac:dyDescent="0.25">
      <c r="A70" s="60" t="s">
        <v>225</v>
      </c>
      <c r="B70" s="65" t="s">
        <v>87</v>
      </c>
      <c r="C70" s="62">
        <v>2008</v>
      </c>
      <c r="D70" s="1">
        <f t="shared" si="18"/>
        <v>2</v>
      </c>
      <c r="E70" s="287"/>
      <c r="F70" s="287"/>
      <c r="G70" s="120"/>
      <c r="H70" s="280"/>
      <c r="I70" s="108"/>
      <c r="J70" s="108"/>
      <c r="K70" s="108"/>
      <c r="L70" s="108"/>
      <c r="M70" s="108"/>
      <c r="N70" s="267">
        <f t="shared" si="19"/>
        <v>2</v>
      </c>
      <c r="O70" s="122"/>
      <c r="P70" s="96">
        <f t="shared" si="20"/>
        <v>2</v>
      </c>
      <c r="Q70" s="97">
        <f t="shared" si="21"/>
        <v>2</v>
      </c>
      <c r="R70" s="108"/>
      <c r="S70" s="287"/>
      <c r="T70" s="287"/>
      <c r="U70" s="287"/>
      <c r="V70" s="287"/>
      <c r="W70" s="287"/>
      <c r="X70" s="287"/>
      <c r="Y70" s="287">
        <f t="shared" si="34"/>
        <v>6</v>
      </c>
      <c r="Z70" s="120"/>
      <c r="AA70" s="96">
        <f t="shared" si="29"/>
        <v>6</v>
      </c>
      <c r="AB70" s="97">
        <f>IF(C70=2008, AA70/3,AA70)+Z70</f>
        <v>2</v>
      </c>
      <c r="AC70" s="22"/>
      <c r="AD70" s="287"/>
      <c r="AE70" s="287"/>
      <c r="AF70" s="287"/>
      <c r="AG70" s="287"/>
      <c r="AH70" s="287">
        <f>AV70</f>
        <v>6</v>
      </c>
      <c r="AI70" s="120"/>
      <c r="AJ70" s="96">
        <f t="shared" si="35"/>
        <v>6</v>
      </c>
      <c r="AK70" s="97">
        <f>IF(C70=2011, AJ70/3,AJ70)+AI70</f>
        <v>6</v>
      </c>
      <c r="AL70" s="22"/>
      <c r="AM70" s="13"/>
      <c r="AN70" s="13">
        <f>6</f>
        <v>6</v>
      </c>
      <c r="AO70" s="13"/>
      <c r="AP70" s="13"/>
      <c r="AQ70" s="13"/>
      <c r="AR70" s="13"/>
      <c r="AS70" s="13"/>
      <c r="AT70" s="95"/>
      <c r="AU70" s="96">
        <f>SUM(AM70:AS70)</f>
        <v>6</v>
      </c>
      <c r="AV70" s="97">
        <f>IF(C70=2010, AU70/3,AU70)+AT70</f>
        <v>6</v>
      </c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spans="1:67" s="3" customFormat="1" x14ac:dyDescent="0.25">
      <c r="A71" s="60" t="s">
        <v>667</v>
      </c>
      <c r="B71" s="65" t="s">
        <v>476</v>
      </c>
      <c r="C71" s="62">
        <v>2007</v>
      </c>
      <c r="D71" s="1">
        <f t="shared" si="18"/>
        <v>3</v>
      </c>
      <c r="E71" s="154"/>
      <c r="F71" s="154"/>
      <c r="G71" s="120"/>
      <c r="H71" s="13"/>
      <c r="I71" s="261"/>
      <c r="J71" s="246"/>
      <c r="K71" s="241"/>
      <c r="L71" s="228">
        <v>3</v>
      </c>
      <c r="M71" s="215"/>
      <c r="N71" s="267">
        <f t="shared" si="19"/>
        <v>0</v>
      </c>
      <c r="O71" s="120"/>
      <c r="P71" s="96">
        <f t="shared" si="20"/>
        <v>3</v>
      </c>
      <c r="Q71" s="97">
        <f t="shared" si="21"/>
        <v>3</v>
      </c>
      <c r="R71" s="215"/>
      <c r="S71" s="201"/>
      <c r="T71" s="192"/>
      <c r="U71" s="183"/>
      <c r="V71" s="168"/>
      <c r="W71" s="50"/>
      <c r="X71" s="50"/>
      <c r="Y71" s="215"/>
      <c r="Z71" s="120"/>
      <c r="AA71" s="96">
        <f t="shared" si="29"/>
        <v>0</v>
      </c>
      <c r="AB71" s="97">
        <f>IF(C71=2008, AA71/3,AA71)+Z71</f>
        <v>0</v>
      </c>
      <c r="AC71" s="22"/>
      <c r="AD71" s="267"/>
      <c r="AE71" s="50"/>
      <c r="AF71" s="50"/>
      <c r="AG71" s="50"/>
      <c r="AH71" s="50"/>
      <c r="AI71" s="120"/>
      <c r="AJ71" s="96"/>
      <c r="AK71" s="97"/>
      <c r="AL71" s="22"/>
      <c r="AM71" s="13"/>
      <c r="AN71" s="13"/>
      <c r="AO71" s="13"/>
      <c r="AP71" s="13"/>
      <c r="AQ71" s="13"/>
      <c r="AR71" s="13"/>
      <c r="AS71" s="13"/>
      <c r="AT71" s="95"/>
      <c r="AU71" s="96"/>
      <c r="AV71" s="9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</row>
    <row r="72" spans="1:67" s="3" customFormat="1" x14ac:dyDescent="0.25">
      <c r="A72" s="71" t="s">
        <v>288</v>
      </c>
      <c r="B72" s="65" t="s">
        <v>231</v>
      </c>
      <c r="C72" s="62">
        <v>2005</v>
      </c>
      <c r="D72" s="1">
        <f t="shared" si="18"/>
        <v>0</v>
      </c>
      <c r="E72" s="287"/>
      <c r="F72" s="287"/>
      <c r="G72" s="120"/>
      <c r="H72" s="290"/>
      <c r="I72" s="267"/>
      <c r="J72" s="267"/>
      <c r="K72" s="267"/>
      <c r="L72" s="267"/>
      <c r="M72" s="267"/>
      <c r="N72" s="267">
        <f t="shared" si="19"/>
        <v>0</v>
      </c>
      <c r="O72" s="152"/>
      <c r="P72" s="96">
        <f t="shared" si="20"/>
        <v>0</v>
      </c>
      <c r="Q72" s="97">
        <f t="shared" si="21"/>
        <v>0</v>
      </c>
      <c r="R72" s="267"/>
      <c r="S72" s="201"/>
      <c r="T72" s="192"/>
      <c r="U72" s="183"/>
      <c r="V72" s="168"/>
      <c r="W72" s="50"/>
      <c r="X72" s="50"/>
      <c r="Y72" s="215">
        <f>AK72</f>
        <v>0</v>
      </c>
      <c r="Z72" s="120"/>
      <c r="AA72" s="96">
        <f t="shared" si="29"/>
        <v>0</v>
      </c>
      <c r="AB72" s="97">
        <f>IF(C72=2008, AA72/3,AA72)+Z72</f>
        <v>0</v>
      </c>
      <c r="AC72" s="22"/>
      <c r="AD72" s="267"/>
      <c r="AE72" s="50"/>
      <c r="AF72" s="50"/>
      <c r="AG72" s="50"/>
      <c r="AH72" s="50">
        <f>AV72</f>
        <v>0</v>
      </c>
      <c r="AI72" s="120"/>
      <c r="AJ72" s="96">
        <f>SUM(AD72:AH72)</f>
        <v>0</v>
      </c>
      <c r="AK72" s="97">
        <f>IF(C72=2007, AJ72/3,AJ72)+AI72</f>
        <v>0</v>
      </c>
      <c r="AL72" s="22"/>
      <c r="AM72" s="26"/>
      <c r="AN72" s="26"/>
      <c r="AO72" s="26">
        <f>0</f>
        <v>0</v>
      </c>
      <c r="AP72" s="26"/>
      <c r="AQ72" s="26"/>
      <c r="AR72" s="26"/>
      <c r="AS72" s="26"/>
      <c r="AT72" s="95"/>
      <c r="AU72" s="96">
        <f>SUM(AM72:AS72)</f>
        <v>0</v>
      </c>
      <c r="AV72" s="97">
        <f>IF(C72=2006, AU72/3,AU72)+AT72</f>
        <v>0</v>
      </c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</row>
    <row r="73" spans="1:67" s="3" customFormat="1" x14ac:dyDescent="0.25">
      <c r="A73" s="60" t="s">
        <v>855</v>
      </c>
      <c r="B73" s="65" t="s">
        <v>63</v>
      </c>
      <c r="C73" s="62">
        <v>2007</v>
      </c>
      <c r="D73" s="1">
        <f t="shared" si="18"/>
        <v>0</v>
      </c>
      <c r="E73" s="154"/>
      <c r="F73" s="154"/>
      <c r="G73" s="120"/>
      <c r="H73" s="290"/>
      <c r="I73" s="108"/>
      <c r="J73" s="108"/>
      <c r="K73" s="108"/>
      <c r="L73" s="108"/>
      <c r="M73" s="108"/>
      <c r="N73" s="267">
        <f t="shared" si="19"/>
        <v>0</v>
      </c>
      <c r="O73" s="122"/>
      <c r="P73" s="96">
        <f t="shared" si="20"/>
        <v>0</v>
      </c>
      <c r="Q73" s="97">
        <f t="shared" si="21"/>
        <v>0</v>
      </c>
      <c r="R73" s="108"/>
      <c r="S73" s="201"/>
      <c r="T73" s="192"/>
      <c r="U73" s="183"/>
      <c r="V73" s="168"/>
      <c r="W73" s="50">
        <v>0</v>
      </c>
      <c r="X73" s="50"/>
      <c r="Y73" s="215">
        <f>AK73</f>
        <v>0</v>
      </c>
      <c r="Z73" s="120"/>
      <c r="AA73" s="96">
        <f t="shared" si="29"/>
        <v>0</v>
      </c>
      <c r="AB73" s="97">
        <f>IF(C73=2008, AA73/3,AA73)+Z73</f>
        <v>0</v>
      </c>
      <c r="AC73" s="22"/>
      <c r="AD73" s="256"/>
      <c r="AE73" s="50"/>
      <c r="AF73" s="50"/>
      <c r="AG73" s="50"/>
      <c r="AH73" s="50"/>
      <c r="AI73" s="120"/>
      <c r="AJ73" s="96"/>
      <c r="AK73" s="97"/>
      <c r="AL73" s="22"/>
      <c r="AM73" s="13"/>
      <c r="AN73" s="13"/>
      <c r="AO73" s="13"/>
      <c r="AP73" s="13"/>
      <c r="AQ73" s="13"/>
      <c r="AR73" s="13"/>
      <c r="AS73" s="13"/>
      <c r="AT73" s="95"/>
      <c r="AU73" s="96"/>
      <c r="AV73" s="9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</row>
    <row r="74" spans="1:67" s="3" customFormat="1" x14ac:dyDescent="0.25">
      <c r="A74" s="60" t="s">
        <v>187</v>
      </c>
      <c r="B74" s="85" t="s">
        <v>64</v>
      </c>
      <c r="C74" s="62">
        <v>2006</v>
      </c>
      <c r="D74" s="1">
        <f t="shared" si="18"/>
        <v>31</v>
      </c>
      <c r="E74" s="283"/>
      <c r="F74" s="278"/>
      <c r="G74" s="120"/>
      <c r="H74" s="290"/>
      <c r="I74" s="267"/>
      <c r="J74" s="267"/>
      <c r="K74" s="267"/>
      <c r="L74" s="267"/>
      <c r="M74" s="267"/>
      <c r="N74" s="267">
        <f t="shared" si="19"/>
        <v>31</v>
      </c>
      <c r="O74" s="120"/>
      <c r="P74" s="96">
        <f t="shared" si="20"/>
        <v>31</v>
      </c>
      <c r="Q74" s="97">
        <f t="shared" si="21"/>
        <v>31</v>
      </c>
      <c r="R74" s="267"/>
      <c r="S74" s="201"/>
      <c r="T74" s="192"/>
      <c r="U74" s="183"/>
      <c r="V74" s="168"/>
      <c r="W74" s="50"/>
      <c r="X74" s="50"/>
      <c r="Y74" s="215">
        <f>AK74</f>
        <v>31</v>
      </c>
      <c r="Z74" s="120"/>
      <c r="AA74" s="96">
        <f t="shared" si="29"/>
        <v>31</v>
      </c>
      <c r="AB74" s="97">
        <f>IF(C74=2008, AA74/3,AA74)+Z74</f>
        <v>31</v>
      </c>
      <c r="AC74" s="22"/>
      <c r="AD74" s="267"/>
      <c r="AE74" s="50"/>
      <c r="AF74" s="50"/>
      <c r="AG74" s="50">
        <f>15</f>
        <v>15</v>
      </c>
      <c r="AH74" s="50">
        <f>AV74</f>
        <v>16</v>
      </c>
      <c r="AI74" s="120"/>
      <c r="AJ74" s="96">
        <f>SUM(AD74:AH74)</f>
        <v>31</v>
      </c>
      <c r="AK74" s="97">
        <f>IF(C74=2007, AJ74/3,AJ74)+AI74</f>
        <v>31</v>
      </c>
      <c r="AL74" s="22"/>
      <c r="AM74" s="13"/>
      <c r="AN74" s="13">
        <v>48</v>
      </c>
      <c r="AO74" s="13"/>
      <c r="AP74" s="13"/>
      <c r="AQ74" s="13"/>
      <c r="AR74" s="13"/>
      <c r="AS74" s="13"/>
      <c r="AT74" s="95"/>
      <c r="AU74" s="96">
        <f>SUM(AM74:AS74)</f>
        <v>48</v>
      </c>
      <c r="AV74" s="97">
        <f>IF(C74=2006, AU74/3,AU74)+AT74</f>
        <v>16</v>
      </c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</row>
    <row r="75" spans="1:67" s="3" customFormat="1" x14ac:dyDescent="0.25">
      <c r="A75" s="12" t="s">
        <v>1202</v>
      </c>
      <c r="B75" s="65" t="s">
        <v>87</v>
      </c>
      <c r="C75" s="4">
        <v>2009</v>
      </c>
      <c r="D75" s="1">
        <f t="shared" si="18"/>
        <v>18</v>
      </c>
      <c r="E75" s="154"/>
      <c r="F75" s="154"/>
      <c r="G75" s="120"/>
      <c r="H75" s="280"/>
      <c r="I75" s="267"/>
      <c r="J75" s="267"/>
      <c r="K75" s="267"/>
      <c r="L75" s="267">
        <f>0</f>
        <v>0</v>
      </c>
      <c r="M75" s="267"/>
      <c r="N75" s="267">
        <f t="shared" si="19"/>
        <v>0</v>
      </c>
      <c r="O75" s="120">
        <f>18</f>
        <v>18</v>
      </c>
      <c r="P75" s="96">
        <f t="shared" si="20"/>
        <v>0</v>
      </c>
      <c r="Q75" s="97">
        <f t="shared" si="21"/>
        <v>18</v>
      </c>
      <c r="R75" s="267"/>
      <c r="S75" s="154"/>
      <c r="T75" s="154"/>
      <c r="U75" s="154"/>
      <c r="V75" s="154"/>
      <c r="W75" s="154"/>
      <c r="X75" s="154"/>
      <c r="Y75" s="154"/>
      <c r="Z75" s="13"/>
      <c r="AC75" s="13"/>
      <c r="AD75" s="13"/>
      <c r="AE75" s="13"/>
      <c r="AF75" s="13"/>
      <c r="AG75" s="13"/>
      <c r="AH75" s="13"/>
      <c r="AI75" s="13"/>
      <c r="AL75" s="13"/>
      <c r="AM75" s="13"/>
      <c r="AN75" s="13"/>
      <c r="AO75" s="13"/>
      <c r="AP75" s="13"/>
      <c r="AQ75" s="13"/>
      <c r="AR75" s="13"/>
      <c r="AS75" s="13"/>
    </row>
    <row r="76" spans="1:67" s="3" customFormat="1" x14ac:dyDescent="0.25">
      <c r="A76" s="60" t="s">
        <v>194</v>
      </c>
      <c r="B76" s="65" t="s">
        <v>87</v>
      </c>
      <c r="C76" s="62">
        <v>2007</v>
      </c>
      <c r="D76" s="1">
        <f t="shared" si="18"/>
        <v>3</v>
      </c>
      <c r="E76" s="154"/>
      <c r="F76" s="154"/>
      <c r="G76" s="120"/>
      <c r="H76" s="13"/>
      <c r="I76" s="267"/>
      <c r="J76" s="267"/>
      <c r="K76" s="267"/>
      <c r="L76" s="267"/>
      <c r="M76" s="267"/>
      <c r="N76" s="267">
        <f t="shared" si="19"/>
        <v>3</v>
      </c>
      <c r="O76" s="120"/>
      <c r="P76" s="96">
        <f t="shared" si="20"/>
        <v>3</v>
      </c>
      <c r="Q76" s="97">
        <f t="shared" si="21"/>
        <v>3</v>
      </c>
      <c r="R76" s="267"/>
      <c r="S76" s="201"/>
      <c r="T76" s="192"/>
      <c r="U76" s="183"/>
      <c r="V76" s="168"/>
      <c r="W76" s="50"/>
      <c r="X76" s="50"/>
      <c r="Y76" s="215">
        <f>AK76</f>
        <v>3</v>
      </c>
      <c r="Z76" s="120"/>
      <c r="AA76" s="96">
        <f>S76+T76+U76+V76+W76+X76+Y76</f>
        <v>3</v>
      </c>
      <c r="AB76" s="97">
        <f>IF(C76=2008, AA76/3,AA76)+Z76</f>
        <v>3</v>
      </c>
      <c r="AC76" s="22"/>
      <c r="AD76" s="215"/>
      <c r="AE76" s="50"/>
      <c r="AF76" s="50"/>
      <c r="AG76" s="50"/>
      <c r="AH76" s="50">
        <f>AV76</f>
        <v>9</v>
      </c>
      <c r="AI76" s="120"/>
      <c r="AJ76" s="96">
        <f>SUM(AD76:AH76)</f>
        <v>9</v>
      </c>
      <c r="AK76" s="97">
        <f>IF(C76=2007, AJ76/3,AJ76)+AI76</f>
        <v>3</v>
      </c>
      <c r="AL76" s="22"/>
      <c r="AM76" s="13"/>
      <c r="AN76" s="13">
        <f>9</f>
        <v>9</v>
      </c>
      <c r="AO76" s="13"/>
      <c r="AP76" s="13"/>
      <c r="AQ76" s="13"/>
      <c r="AR76" s="13"/>
      <c r="AS76" s="13"/>
      <c r="AT76" s="95"/>
      <c r="AU76" s="96">
        <f>SUM(AM76:AS76)</f>
        <v>9</v>
      </c>
      <c r="AV76" s="97">
        <f>IF(C76=2010, AU76/3,AU76)+AT76</f>
        <v>9</v>
      </c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</row>
    <row r="77" spans="1:67" s="3" customFormat="1" x14ac:dyDescent="0.25">
      <c r="A77" s="60" t="s">
        <v>654</v>
      </c>
      <c r="B77" s="65" t="s">
        <v>7</v>
      </c>
      <c r="C77" s="62">
        <v>2008</v>
      </c>
      <c r="D77" s="1">
        <f t="shared" si="18"/>
        <v>12.333333333333334</v>
      </c>
      <c r="E77" s="108"/>
      <c r="F77" s="108"/>
      <c r="G77" s="120"/>
      <c r="H77" s="101"/>
      <c r="I77" s="261"/>
      <c r="J77" s="246"/>
      <c r="K77" s="241"/>
      <c r="L77" s="228"/>
      <c r="M77" s="215"/>
      <c r="N77" s="267">
        <f t="shared" si="19"/>
        <v>12.333333333333334</v>
      </c>
      <c r="O77" s="120"/>
      <c r="P77" s="96">
        <f t="shared" si="20"/>
        <v>12.333333333333334</v>
      </c>
      <c r="Q77" s="97">
        <f t="shared" si="21"/>
        <v>12.333333333333334</v>
      </c>
      <c r="R77" s="215"/>
      <c r="S77" s="201"/>
      <c r="T77" s="192"/>
      <c r="U77" s="183"/>
      <c r="V77" s="168"/>
      <c r="W77" s="50"/>
      <c r="X77" s="50"/>
      <c r="Y77" s="215">
        <f>AK77</f>
        <v>37</v>
      </c>
      <c r="Z77" s="120"/>
      <c r="AA77" s="96">
        <f>S77+T77+U77+V77+W77+X77+Y77</f>
        <v>37</v>
      </c>
      <c r="AB77" s="97">
        <f>IF(C77=2008, AA77/3,AA77)+Z77</f>
        <v>12.333333333333334</v>
      </c>
      <c r="AC77" s="22"/>
      <c r="AD77" s="231"/>
      <c r="AE77" s="50"/>
      <c r="AF77" s="50">
        <f>0</f>
        <v>0</v>
      </c>
      <c r="AG77" s="50"/>
      <c r="AH77" s="50">
        <f>37</f>
        <v>37</v>
      </c>
      <c r="AI77" s="120"/>
      <c r="AJ77" s="96">
        <f>SUM(AD77:AH77)</f>
        <v>37</v>
      </c>
      <c r="AK77" s="97">
        <f>IF(C77=2011, AJ77/3,AJ77)+AI77</f>
        <v>37</v>
      </c>
      <c r="AL77" s="22"/>
      <c r="AM77" s="13"/>
      <c r="AN77" s="13"/>
      <c r="AO77" s="13"/>
      <c r="AP77" s="13"/>
      <c r="AQ77" s="13"/>
      <c r="AR77" s="13"/>
      <c r="AS77" s="13"/>
      <c r="AT77" s="95"/>
      <c r="AU77" s="96"/>
      <c r="AV77" s="97"/>
    </row>
    <row r="78" spans="1:67" s="3" customFormat="1" x14ac:dyDescent="0.25">
      <c r="A78" s="11" t="s">
        <v>1148</v>
      </c>
      <c r="B78" s="60" t="s">
        <v>697</v>
      </c>
      <c r="C78" s="62">
        <v>2009</v>
      </c>
      <c r="D78" s="1">
        <f t="shared" si="18"/>
        <v>24</v>
      </c>
      <c r="E78" s="287"/>
      <c r="F78" s="287"/>
      <c r="G78" s="120"/>
      <c r="H78" s="13"/>
      <c r="I78" s="261">
        <f>40</f>
        <v>40</v>
      </c>
      <c r="J78" s="246"/>
      <c r="K78" s="241">
        <f>12</f>
        <v>12</v>
      </c>
      <c r="L78" s="228">
        <f>20</f>
        <v>20</v>
      </c>
      <c r="M78" s="215"/>
      <c r="N78" s="267">
        <f t="shared" si="19"/>
        <v>0</v>
      </c>
      <c r="O78" s="120"/>
      <c r="P78" s="96">
        <f t="shared" si="20"/>
        <v>72</v>
      </c>
      <c r="Q78" s="97">
        <f t="shared" si="21"/>
        <v>24</v>
      </c>
      <c r="R78" s="215"/>
      <c r="S78" s="201"/>
      <c r="T78" s="201"/>
      <c r="U78" s="201"/>
      <c r="V78" s="201"/>
      <c r="W78" s="201"/>
      <c r="X78" s="201"/>
      <c r="Y78" s="215"/>
      <c r="Z78" s="152"/>
      <c r="AA78" s="96"/>
      <c r="AB78" s="97"/>
      <c r="AC78" s="290"/>
      <c r="AD78" s="290"/>
      <c r="AE78" s="50"/>
      <c r="AF78" s="50"/>
      <c r="AG78" s="50"/>
      <c r="AH78" s="50"/>
      <c r="AI78" s="120"/>
      <c r="AJ78" s="96"/>
      <c r="AK78" s="97"/>
      <c r="AL78" s="22"/>
      <c r="AM78" s="151"/>
      <c r="AN78" s="151"/>
      <c r="AO78" s="151"/>
      <c r="AP78" s="151"/>
      <c r="AQ78" s="151"/>
      <c r="AR78" s="151"/>
      <c r="AS78" s="13"/>
      <c r="AT78" s="95"/>
      <c r="AU78" s="96"/>
      <c r="AV78" s="97"/>
    </row>
    <row r="79" spans="1:67" s="3" customFormat="1" x14ac:dyDescent="0.25">
      <c r="A79" s="60" t="s">
        <v>210</v>
      </c>
      <c r="B79" s="65" t="s">
        <v>86</v>
      </c>
      <c r="C79" s="62">
        <v>2005</v>
      </c>
      <c r="D79" s="1">
        <f t="shared" si="18"/>
        <v>5</v>
      </c>
      <c r="E79" s="287"/>
      <c r="F79" s="287"/>
      <c r="G79" s="120"/>
      <c r="H79" s="13"/>
      <c r="I79" s="287"/>
      <c r="J79" s="287"/>
      <c r="K79" s="287"/>
      <c r="L79" s="287"/>
      <c r="M79" s="287"/>
      <c r="N79" s="267">
        <f t="shared" si="19"/>
        <v>5</v>
      </c>
      <c r="O79" s="152"/>
      <c r="P79" s="96">
        <f t="shared" si="20"/>
        <v>5</v>
      </c>
      <c r="Q79" s="97">
        <f t="shared" si="21"/>
        <v>5</v>
      </c>
      <c r="R79" s="287"/>
      <c r="S79" s="201"/>
      <c r="T79" s="192"/>
      <c r="U79" s="183"/>
      <c r="V79" s="168"/>
      <c r="W79" s="50"/>
      <c r="X79" s="50"/>
      <c r="Y79" s="215">
        <f t="shared" ref="Y79:Y99" si="36">AK79</f>
        <v>5</v>
      </c>
      <c r="Z79" s="120"/>
      <c r="AA79" s="96">
        <f t="shared" ref="AA79:AA110" si="37">S79+T79+U79+V79+W79+X79+Y79</f>
        <v>5</v>
      </c>
      <c r="AB79" s="97">
        <f>IF(C79=2008, AA79/3,AA79)+Z79</f>
        <v>5</v>
      </c>
      <c r="AC79" s="22"/>
      <c r="AD79" s="256"/>
      <c r="AE79" s="50"/>
      <c r="AF79" s="50"/>
      <c r="AG79" s="50"/>
      <c r="AH79" s="50">
        <f>AV79</f>
        <v>5</v>
      </c>
      <c r="AI79" s="120"/>
      <c r="AJ79" s="96">
        <f t="shared" ref="AJ79:AJ99" si="38">SUM(AD79:AH79)</f>
        <v>5</v>
      </c>
      <c r="AK79" s="97">
        <f>IF(C79=2007, AJ79/3,AJ79)+AI79</f>
        <v>5</v>
      </c>
      <c r="AL79" s="22"/>
      <c r="AM79" s="26"/>
      <c r="AN79" s="26">
        <v>3</v>
      </c>
      <c r="AO79" s="26"/>
      <c r="AP79" s="26">
        <f>2</f>
        <v>2</v>
      </c>
      <c r="AQ79" s="26"/>
      <c r="AR79" s="26"/>
      <c r="AS79" s="26"/>
      <c r="AT79" s="95"/>
      <c r="AU79" s="96">
        <f>SUM(AM79:AS79)</f>
        <v>5</v>
      </c>
      <c r="AV79" s="97">
        <f>IF(C79=2006, AU79/3,AU79)+AT79</f>
        <v>5</v>
      </c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</row>
    <row r="80" spans="1:67" s="3" customFormat="1" x14ac:dyDescent="0.25">
      <c r="A80" s="77" t="s">
        <v>663</v>
      </c>
      <c r="B80" s="87" t="s">
        <v>64</v>
      </c>
      <c r="C80" s="3">
        <v>2008</v>
      </c>
      <c r="D80" s="1">
        <f t="shared" si="18"/>
        <v>15</v>
      </c>
      <c r="E80" s="287"/>
      <c r="F80" s="287"/>
      <c r="G80" s="120"/>
      <c r="H80" s="13"/>
      <c r="I80" s="287"/>
      <c r="J80" s="287"/>
      <c r="K80" s="287"/>
      <c r="L80" s="287"/>
      <c r="M80" s="287"/>
      <c r="N80" s="267">
        <f t="shared" si="19"/>
        <v>15</v>
      </c>
      <c r="O80" s="152"/>
      <c r="P80" s="96">
        <f t="shared" si="20"/>
        <v>15</v>
      </c>
      <c r="Q80" s="97">
        <f t="shared" si="21"/>
        <v>15</v>
      </c>
      <c r="R80" s="287"/>
      <c r="S80" s="201"/>
      <c r="T80" s="192"/>
      <c r="U80" s="183"/>
      <c r="V80" s="168"/>
      <c r="W80" s="50">
        <f>0</f>
        <v>0</v>
      </c>
      <c r="X80" s="50">
        <f>0</f>
        <v>0</v>
      </c>
      <c r="Y80" s="215">
        <f t="shared" si="36"/>
        <v>39</v>
      </c>
      <c r="Z80" s="120">
        <f>2</f>
        <v>2</v>
      </c>
      <c r="AA80" s="96">
        <f t="shared" si="37"/>
        <v>39</v>
      </c>
      <c r="AB80" s="97">
        <f>IF(C80=2008, AA80/3,AA80)+Z80</f>
        <v>15</v>
      </c>
      <c r="AC80" s="22"/>
      <c r="AD80" s="267"/>
      <c r="AE80" s="50"/>
      <c r="AF80" s="50">
        <f>39</f>
        <v>39</v>
      </c>
      <c r="AG80" s="50"/>
      <c r="AH80" s="50"/>
      <c r="AI80" s="120"/>
      <c r="AJ80" s="96">
        <f t="shared" si="38"/>
        <v>39</v>
      </c>
      <c r="AK80" s="97">
        <f>IF(C80=2011, AJ80/3,AJ80)+AI80</f>
        <v>39</v>
      </c>
      <c r="AL80" s="22"/>
      <c r="AM80" s="13"/>
      <c r="AN80" s="13"/>
      <c r="AO80" s="13"/>
      <c r="AP80" s="13"/>
      <c r="AQ80" s="13"/>
      <c r="AR80" s="13"/>
      <c r="AS80" s="13"/>
      <c r="AT80" s="95"/>
      <c r="AU80" s="96"/>
      <c r="AV80" s="97"/>
    </row>
    <row r="81" spans="1:67" s="3" customFormat="1" x14ac:dyDescent="0.25">
      <c r="A81" s="60" t="s">
        <v>188</v>
      </c>
      <c r="B81" s="65" t="s">
        <v>86</v>
      </c>
      <c r="C81" s="62">
        <v>2006</v>
      </c>
      <c r="D81" s="1">
        <f t="shared" si="18"/>
        <v>36</v>
      </c>
      <c r="E81" s="287"/>
      <c r="F81" s="287"/>
      <c r="G81" s="120"/>
      <c r="H81" s="290"/>
      <c r="I81" s="287"/>
      <c r="J81" s="287"/>
      <c r="K81" s="287"/>
      <c r="L81" s="287"/>
      <c r="M81" s="287"/>
      <c r="N81" s="267">
        <f t="shared" si="19"/>
        <v>36</v>
      </c>
      <c r="O81" s="120"/>
      <c r="P81" s="96">
        <f t="shared" si="20"/>
        <v>36</v>
      </c>
      <c r="Q81" s="97">
        <f t="shared" si="21"/>
        <v>36</v>
      </c>
      <c r="R81" s="287"/>
      <c r="S81" s="256"/>
      <c r="T81" s="256"/>
      <c r="U81" s="256"/>
      <c r="V81" s="256"/>
      <c r="W81" s="256"/>
      <c r="X81" s="256"/>
      <c r="Y81" s="215">
        <f t="shared" si="36"/>
        <v>36</v>
      </c>
      <c r="Z81" s="120"/>
      <c r="AA81" s="96">
        <f t="shared" si="37"/>
        <v>36</v>
      </c>
      <c r="AB81" s="97">
        <f>IF(C81=2008, AA81/3,AA81)+Z81</f>
        <v>36</v>
      </c>
      <c r="AC81" s="22"/>
      <c r="AD81" s="267"/>
      <c r="AE81" s="256"/>
      <c r="AF81" s="256"/>
      <c r="AG81" s="256"/>
      <c r="AH81" s="256">
        <f>AV81</f>
        <v>36</v>
      </c>
      <c r="AI81" s="120"/>
      <c r="AJ81" s="96">
        <f t="shared" si="38"/>
        <v>36</v>
      </c>
      <c r="AK81" s="97">
        <f>IF(C81=2007, AJ81/3,AJ81)+AI81</f>
        <v>36</v>
      </c>
      <c r="AL81" s="22"/>
      <c r="AM81" s="13"/>
      <c r="AN81" s="13">
        <f>45+24</f>
        <v>69</v>
      </c>
      <c r="AO81" s="13"/>
      <c r="AP81" s="13">
        <f>39</f>
        <v>39</v>
      </c>
      <c r="AQ81" s="13"/>
      <c r="AR81" s="13"/>
      <c r="AS81" s="13"/>
      <c r="AT81" s="95"/>
      <c r="AU81" s="96">
        <f>SUM(AM81:AS81)</f>
        <v>108</v>
      </c>
      <c r="AV81" s="97">
        <f>IF(C81=2006, AU81/3,AU81)+AT81</f>
        <v>36</v>
      </c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</row>
    <row r="82" spans="1:67" s="3" customFormat="1" x14ac:dyDescent="0.25">
      <c r="A82" s="60" t="s">
        <v>507</v>
      </c>
      <c r="B82" s="65" t="s">
        <v>476</v>
      </c>
      <c r="C82" s="62">
        <v>2007</v>
      </c>
      <c r="D82" s="1">
        <f t="shared" si="18"/>
        <v>0</v>
      </c>
      <c r="E82" s="154"/>
      <c r="F82" s="154"/>
      <c r="G82" s="120"/>
      <c r="H82" s="280"/>
      <c r="I82" s="261"/>
      <c r="J82" s="261"/>
      <c r="K82" s="261"/>
      <c r="L82" s="261"/>
      <c r="M82" s="261"/>
      <c r="N82" s="267">
        <f t="shared" si="19"/>
        <v>0</v>
      </c>
      <c r="O82" s="152"/>
      <c r="P82" s="96">
        <f t="shared" si="20"/>
        <v>0</v>
      </c>
      <c r="Q82" s="97">
        <f t="shared" si="21"/>
        <v>0</v>
      </c>
      <c r="R82" s="261"/>
      <c r="S82" s="261"/>
      <c r="T82" s="261"/>
      <c r="U82" s="261"/>
      <c r="V82" s="261"/>
      <c r="W82" s="261"/>
      <c r="X82" s="261"/>
      <c r="Y82" s="215">
        <f t="shared" si="36"/>
        <v>0</v>
      </c>
      <c r="Z82" s="120"/>
      <c r="AA82" s="96">
        <f t="shared" si="37"/>
        <v>0</v>
      </c>
      <c r="AB82" s="97">
        <f>IF(C82=2008, AA82/3,AA82)+Z82</f>
        <v>0</v>
      </c>
      <c r="AC82" s="22"/>
      <c r="AD82" s="267"/>
      <c r="AE82" s="261"/>
      <c r="AF82" s="261"/>
      <c r="AG82" s="261"/>
      <c r="AH82" s="261">
        <f>AV82</f>
        <v>0</v>
      </c>
      <c r="AI82" s="120"/>
      <c r="AJ82" s="96">
        <f t="shared" si="38"/>
        <v>0</v>
      </c>
      <c r="AK82" s="97">
        <f>IF(C82=2007, AJ82/3,AJ82)+AI82</f>
        <v>0</v>
      </c>
      <c r="AL82" s="22"/>
      <c r="AM82" s="13"/>
      <c r="AN82" s="13"/>
      <c r="AO82" s="13"/>
      <c r="AP82" s="13"/>
      <c r="AQ82" s="13"/>
      <c r="AR82" s="13">
        <f>0</f>
        <v>0</v>
      </c>
      <c r="AS82" s="13"/>
      <c r="AT82" s="95"/>
      <c r="AU82" s="96">
        <f>SUM(AM82:AS82)</f>
        <v>0</v>
      </c>
      <c r="AV82" s="97">
        <f>IF(C82=2010, AU82/3,AU82)+AT82</f>
        <v>0</v>
      </c>
    </row>
    <row r="83" spans="1:67" s="3" customFormat="1" x14ac:dyDescent="0.25">
      <c r="A83" s="77" t="s">
        <v>806</v>
      </c>
      <c r="B83" s="87" t="s">
        <v>583</v>
      </c>
      <c r="C83" s="3">
        <v>2009</v>
      </c>
      <c r="D83" s="1">
        <f t="shared" si="18"/>
        <v>4</v>
      </c>
      <c r="E83" s="283"/>
      <c r="F83" s="278"/>
      <c r="G83" s="120"/>
      <c r="H83" s="13"/>
      <c r="I83" s="261"/>
      <c r="J83" s="246"/>
      <c r="K83" s="241"/>
      <c r="L83" s="228"/>
      <c r="M83" s="215"/>
      <c r="N83" s="267">
        <f t="shared" si="19"/>
        <v>12</v>
      </c>
      <c r="O83" s="120"/>
      <c r="P83" s="96">
        <f t="shared" si="20"/>
        <v>12</v>
      </c>
      <c r="Q83" s="97">
        <f t="shared" si="21"/>
        <v>4</v>
      </c>
      <c r="R83" s="215"/>
      <c r="S83" s="267"/>
      <c r="T83" s="267"/>
      <c r="U83" s="267"/>
      <c r="V83" s="267"/>
      <c r="W83" s="267"/>
      <c r="X83" s="267">
        <f>12</f>
        <v>12</v>
      </c>
      <c r="Y83" s="267">
        <f t="shared" si="36"/>
        <v>0</v>
      </c>
      <c r="Z83" s="120"/>
      <c r="AA83" s="96">
        <f t="shared" si="37"/>
        <v>12</v>
      </c>
      <c r="AB83" s="97">
        <f>IF(C83=2012, AA83/3,AA83)+Z83</f>
        <v>12</v>
      </c>
      <c r="AC83" s="22"/>
      <c r="AD83" s="267"/>
      <c r="AE83" s="267"/>
      <c r="AF83" s="267"/>
      <c r="AG83" s="267"/>
      <c r="AH83" s="267"/>
      <c r="AI83" s="120"/>
      <c r="AJ83" s="96">
        <f t="shared" si="38"/>
        <v>0</v>
      </c>
      <c r="AK83" s="97"/>
      <c r="AL83" s="22"/>
      <c r="AM83" s="13"/>
      <c r="AN83" s="13"/>
      <c r="AO83" s="13"/>
      <c r="AP83" s="13"/>
      <c r="AQ83" s="13"/>
      <c r="AR83" s="13"/>
      <c r="AS83" s="13"/>
      <c r="AT83" s="95"/>
      <c r="AU83" s="96"/>
      <c r="AV83" s="97"/>
    </row>
    <row r="84" spans="1:67" s="3" customFormat="1" x14ac:dyDescent="0.25">
      <c r="A84" s="60" t="s">
        <v>740</v>
      </c>
      <c r="B84" s="65" t="s">
        <v>231</v>
      </c>
      <c r="C84" s="62">
        <v>2008</v>
      </c>
      <c r="D84" s="1">
        <f t="shared" si="18"/>
        <v>2.3333333333333335</v>
      </c>
      <c r="E84" s="154"/>
      <c r="F84" s="154"/>
      <c r="G84" s="120"/>
      <c r="H84" s="13"/>
      <c r="I84" s="287"/>
      <c r="J84" s="287"/>
      <c r="K84" s="287"/>
      <c r="L84" s="287"/>
      <c r="M84" s="287"/>
      <c r="N84" s="267">
        <f t="shared" si="19"/>
        <v>2.3333333333333335</v>
      </c>
      <c r="O84" s="120"/>
      <c r="P84" s="96">
        <f t="shared" si="20"/>
        <v>2.3333333333333335</v>
      </c>
      <c r="Q84" s="97">
        <f t="shared" si="21"/>
        <v>2.3333333333333335</v>
      </c>
      <c r="R84" s="287"/>
      <c r="S84" s="201"/>
      <c r="T84" s="192"/>
      <c r="U84" s="183"/>
      <c r="V84" s="168"/>
      <c r="W84" s="50"/>
      <c r="X84" s="50"/>
      <c r="Y84" s="215">
        <f t="shared" si="36"/>
        <v>7</v>
      </c>
      <c r="Z84" s="120"/>
      <c r="AA84" s="96">
        <f t="shared" si="37"/>
        <v>7</v>
      </c>
      <c r="AB84" s="97">
        <f>IF(C84=2008, AA84/3,AA84)+Z84</f>
        <v>2.3333333333333335</v>
      </c>
      <c r="AC84" s="22"/>
      <c r="AD84" s="267">
        <f>7</f>
        <v>7</v>
      </c>
      <c r="AE84" s="50"/>
      <c r="AF84" s="50"/>
      <c r="AG84" s="50"/>
      <c r="AH84" s="50"/>
      <c r="AI84" s="120"/>
      <c r="AJ84" s="96">
        <f t="shared" si="38"/>
        <v>7</v>
      </c>
      <c r="AK84" s="97">
        <f>IF(C84=2011, AJ84/3,AJ84)+AI84</f>
        <v>7</v>
      </c>
      <c r="AL84" s="22"/>
      <c r="AM84" s="13"/>
      <c r="AN84" s="13"/>
      <c r="AO84" s="13"/>
      <c r="AP84" s="13"/>
      <c r="AQ84" s="13"/>
      <c r="AR84" s="13"/>
      <c r="AS84" s="13"/>
      <c r="AT84" s="95"/>
      <c r="AU84" s="96"/>
      <c r="AV84" s="97"/>
    </row>
    <row r="85" spans="1:67" s="3" customFormat="1" x14ac:dyDescent="0.25">
      <c r="A85" s="60" t="s">
        <v>752</v>
      </c>
      <c r="B85" s="65" t="s">
        <v>231</v>
      </c>
      <c r="C85" s="62">
        <v>2006</v>
      </c>
      <c r="D85" s="1">
        <f t="shared" si="18"/>
        <v>4</v>
      </c>
      <c r="E85" s="108"/>
      <c r="F85" s="108"/>
      <c r="G85" s="120"/>
      <c r="H85" s="101"/>
      <c r="I85" s="108"/>
      <c r="J85" s="108"/>
      <c r="K85" s="108"/>
      <c r="L85" s="108"/>
      <c r="M85" s="108"/>
      <c r="N85" s="267">
        <f t="shared" si="19"/>
        <v>4</v>
      </c>
      <c r="O85" s="122"/>
      <c r="P85" s="96">
        <f t="shared" si="20"/>
        <v>4</v>
      </c>
      <c r="Q85" s="97">
        <f t="shared" si="21"/>
        <v>4</v>
      </c>
      <c r="R85" s="108"/>
      <c r="S85" s="201"/>
      <c r="T85" s="192"/>
      <c r="U85" s="183"/>
      <c r="V85" s="168"/>
      <c r="W85" s="50"/>
      <c r="X85" s="50">
        <f>4</f>
        <v>4</v>
      </c>
      <c r="Y85" s="215">
        <f t="shared" si="36"/>
        <v>0</v>
      </c>
      <c r="Z85" s="120"/>
      <c r="AA85" s="96">
        <f t="shared" si="37"/>
        <v>4</v>
      </c>
      <c r="AB85" s="97">
        <f>IF(C85=2008, AA85/3,AA85)+Z85</f>
        <v>4</v>
      </c>
      <c r="AC85" s="22"/>
      <c r="AD85" s="267">
        <f>0</f>
        <v>0</v>
      </c>
      <c r="AE85" s="50"/>
      <c r="AF85" s="50"/>
      <c r="AG85" s="50"/>
      <c r="AH85" s="50"/>
      <c r="AI85" s="120"/>
      <c r="AJ85" s="96">
        <f t="shared" si="38"/>
        <v>0</v>
      </c>
      <c r="AK85" s="97">
        <f>IF(C85=2007, AJ85/3,AJ85)+AI85</f>
        <v>0</v>
      </c>
      <c r="AL85" s="22"/>
      <c r="AM85" s="289"/>
      <c r="AN85" s="289"/>
      <c r="AO85" s="289"/>
      <c r="AP85" s="289"/>
      <c r="AQ85" s="289"/>
      <c r="AR85" s="289"/>
      <c r="AS85" s="289"/>
      <c r="AT85" s="95"/>
      <c r="AU85" s="96"/>
      <c r="AV85" s="9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</row>
    <row r="86" spans="1:67" s="3" customFormat="1" x14ac:dyDescent="0.25">
      <c r="A86" s="60" t="s">
        <v>451</v>
      </c>
      <c r="B86" s="65" t="s">
        <v>36</v>
      </c>
      <c r="C86" s="62">
        <v>2006</v>
      </c>
      <c r="D86" s="1">
        <f t="shared" ref="D86:D149" si="39">Q86+F86+E86</f>
        <v>113</v>
      </c>
      <c r="E86" s="154"/>
      <c r="F86" s="154"/>
      <c r="G86" s="120"/>
      <c r="H86" s="280"/>
      <c r="I86" s="154"/>
      <c r="J86" s="154"/>
      <c r="K86" s="154"/>
      <c r="L86" s="154"/>
      <c r="M86" s="154"/>
      <c r="N86" s="267">
        <f t="shared" ref="N86:N149" si="40">AB86</f>
        <v>113</v>
      </c>
      <c r="O86" s="122"/>
      <c r="P86" s="96">
        <f t="shared" ref="P86:P149" si="41">I86+J86+K86+L86+M86+N86</f>
        <v>113</v>
      </c>
      <c r="Q86" s="97">
        <f t="shared" ref="Q86:Q149" si="42">IF(C86=2009, P86/3,P86)+O86</f>
        <v>113</v>
      </c>
      <c r="R86" s="154"/>
      <c r="S86" s="201"/>
      <c r="T86" s="192"/>
      <c r="U86" s="183"/>
      <c r="V86" s="168">
        <f>0+6</f>
        <v>6</v>
      </c>
      <c r="W86" s="50">
        <f>15+12</f>
        <v>27</v>
      </c>
      <c r="X86" s="50"/>
      <c r="Y86" s="215">
        <f t="shared" si="36"/>
        <v>80</v>
      </c>
      <c r="Z86" s="120"/>
      <c r="AA86" s="96">
        <f t="shared" si="37"/>
        <v>113</v>
      </c>
      <c r="AB86" s="97">
        <f>IF(C86=2008, AA86/3,AA86)+Z86</f>
        <v>113</v>
      </c>
      <c r="AC86" s="22"/>
      <c r="AD86" s="267">
        <f>0</f>
        <v>0</v>
      </c>
      <c r="AE86" s="50"/>
      <c r="AF86" s="50">
        <f>18</f>
        <v>18</v>
      </c>
      <c r="AG86" s="50"/>
      <c r="AH86" s="50">
        <f>AV86</f>
        <v>62</v>
      </c>
      <c r="AI86" s="120"/>
      <c r="AJ86" s="96">
        <f t="shared" si="38"/>
        <v>80</v>
      </c>
      <c r="AK86" s="97">
        <f>IF(C86=2007, AJ86/3,AJ86)+AI86</f>
        <v>80</v>
      </c>
      <c r="AL86" s="22"/>
      <c r="AM86" s="13"/>
      <c r="AN86" s="13"/>
      <c r="AO86" s="13"/>
      <c r="AP86" s="13"/>
      <c r="AQ86" s="13">
        <f>6</f>
        <v>6</v>
      </c>
      <c r="AR86" s="13">
        <f>16</f>
        <v>16</v>
      </c>
      <c r="AS86" s="13">
        <f>40</f>
        <v>40</v>
      </c>
      <c r="AT86" s="95"/>
      <c r="AU86" s="96">
        <f>SUM(AM86:AS86)</f>
        <v>62</v>
      </c>
      <c r="AV86" s="97">
        <f>IF(C86=2010, AU86/3,AU86)+AT86</f>
        <v>62</v>
      </c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</row>
    <row r="87" spans="1:67" s="3" customFormat="1" x14ac:dyDescent="0.25">
      <c r="A87" s="60" t="s">
        <v>385</v>
      </c>
      <c r="B87" s="65" t="s">
        <v>378</v>
      </c>
      <c r="C87" s="62">
        <v>2009</v>
      </c>
      <c r="D87" s="1">
        <f t="shared" si="39"/>
        <v>0</v>
      </c>
      <c r="E87" s="154"/>
      <c r="F87" s="154"/>
      <c r="G87" s="120"/>
      <c r="H87" s="13"/>
      <c r="I87" s="154"/>
      <c r="J87" s="154"/>
      <c r="K87" s="154"/>
      <c r="L87" s="154"/>
      <c r="M87" s="154"/>
      <c r="N87" s="267">
        <f t="shared" si="40"/>
        <v>0</v>
      </c>
      <c r="O87" s="120"/>
      <c r="P87" s="96">
        <f t="shared" si="41"/>
        <v>0</v>
      </c>
      <c r="Q87" s="97">
        <f t="shared" si="42"/>
        <v>0</v>
      </c>
      <c r="R87" s="154"/>
      <c r="S87" s="201"/>
      <c r="T87" s="192"/>
      <c r="U87" s="187"/>
      <c r="V87" s="187"/>
      <c r="W87" s="187"/>
      <c r="X87" s="187"/>
      <c r="Y87" s="215">
        <f t="shared" si="36"/>
        <v>0</v>
      </c>
      <c r="Z87" s="120"/>
      <c r="AA87" s="96">
        <f t="shared" si="37"/>
        <v>0</v>
      </c>
      <c r="AB87" s="97">
        <f>IF(C87=2012, AA87/3,AA87)+Z87</f>
        <v>0</v>
      </c>
      <c r="AC87" s="22"/>
      <c r="AD87" s="267"/>
      <c r="AE87" s="187"/>
      <c r="AF87" s="187"/>
      <c r="AG87" s="187"/>
      <c r="AH87" s="187">
        <f>AV87</f>
        <v>0</v>
      </c>
      <c r="AI87" s="120"/>
      <c r="AJ87" s="96">
        <f t="shared" si="38"/>
        <v>0</v>
      </c>
      <c r="AK87" s="97">
        <f>IF(C87=2011, AJ87/3,AJ87)+AI87</f>
        <v>0</v>
      </c>
      <c r="AL87" s="22"/>
      <c r="AM87" s="13"/>
      <c r="AN87" s="13"/>
      <c r="AO87" s="13"/>
      <c r="AP87" s="13">
        <f>0</f>
        <v>0</v>
      </c>
      <c r="AQ87" s="13"/>
      <c r="AR87" s="13"/>
      <c r="AS87" s="13"/>
      <c r="AT87" s="95"/>
      <c r="AU87" s="96">
        <f>SUM(AM87:AS87)</f>
        <v>0</v>
      </c>
      <c r="AV87" s="97">
        <f>IF(C87=2010, AU87/3,AU87)+AT87</f>
        <v>0</v>
      </c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</row>
    <row r="88" spans="1:67" s="3" customFormat="1" x14ac:dyDescent="0.25">
      <c r="A88" s="60" t="s">
        <v>183</v>
      </c>
      <c r="B88" s="65" t="s">
        <v>87</v>
      </c>
      <c r="C88" s="62">
        <v>2008</v>
      </c>
      <c r="D88" s="1">
        <f t="shared" si="39"/>
        <v>2</v>
      </c>
      <c r="E88" s="283"/>
      <c r="F88" s="278"/>
      <c r="G88" s="120"/>
      <c r="H88" s="280"/>
      <c r="I88" s="261"/>
      <c r="J88" s="256"/>
      <c r="K88" s="256"/>
      <c r="L88" s="256"/>
      <c r="M88" s="256"/>
      <c r="N88" s="267">
        <f t="shared" si="40"/>
        <v>2</v>
      </c>
      <c r="O88" s="120"/>
      <c r="P88" s="96">
        <f t="shared" si="41"/>
        <v>2</v>
      </c>
      <c r="Q88" s="97">
        <f t="shared" si="42"/>
        <v>2</v>
      </c>
      <c r="R88" s="256"/>
      <c r="S88" s="256"/>
      <c r="T88" s="256"/>
      <c r="U88" s="256"/>
      <c r="V88" s="256"/>
      <c r="W88" s="256"/>
      <c r="X88" s="256"/>
      <c r="Y88" s="215">
        <f t="shared" si="36"/>
        <v>6</v>
      </c>
      <c r="Z88" s="120"/>
      <c r="AA88" s="96">
        <f t="shared" si="37"/>
        <v>6</v>
      </c>
      <c r="AB88" s="97">
        <f>IF(C88=2008, AA88/3,AA88)+Z88</f>
        <v>2</v>
      </c>
      <c r="AC88" s="22"/>
      <c r="AD88" s="267"/>
      <c r="AE88" s="256"/>
      <c r="AF88" s="256"/>
      <c r="AG88" s="256"/>
      <c r="AH88" s="256">
        <f>AV88</f>
        <v>6</v>
      </c>
      <c r="AI88" s="120"/>
      <c r="AJ88" s="96">
        <f t="shared" si="38"/>
        <v>6</v>
      </c>
      <c r="AK88" s="97">
        <f>IF(C88=2011, AJ88/3,AJ88)+AI88</f>
        <v>6</v>
      </c>
      <c r="AL88" s="22"/>
      <c r="AM88" s="13"/>
      <c r="AN88" s="13">
        <f>6</f>
        <v>6</v>
      </c>
      <c r="AO88" s="13"/>
      <c r="AP88" s="13"/>
      <c r="AQ88" s="13"/>
      <c r="AR88" s="13"/>
      <c r="AS88" s="13"/>
      <c r="AT88" s="95"/>
      <c r="AU88" s="96">
        <f>SUM(AM88:AS88)</f>
        <v>6</v>
      </c>
      <c r="AV88" s="97">
        <f>IF(C88=2010, AU88/3,AU88)+AT88</f>
        <v>6</v>
      </c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</row>
    <row r="89" spans="1:67" s="3" customFormat="1" x14ac:dyDescent="0.25">
      <c r="A89" s="60" t="s">
        <v>209</v>
      </c>
      <c r="B89" s="65" t="s">
        <v>111</v>
      </c>
      <c r="C89" s="62">
        <v>2005</v>
      </c>
      <c r="D89" s="1">
        <f t="shared" si="39"/>
        <v>11</v>
      </c>
      <c r="E89" s="287"/>
      <c r="F89" s="287"/>
      <c r="G89" s="120"/>
      <c r="H89" s="290"/>
      <c r="I89" s="261"/>
      <c r="J89" s="246"/>
      <c r="K89" s="241"/>
      <c r="L89" s="228"/>
      <c r="M89" s="215"/>
      <c r="N89" s="267">
        <f t="shared" si="40"/>
        <v>11</v>
      </c>
      <c r="O89" s="120"/>
      <c r="P89" s="96">
        <f t="shared" si="41"/>
        <v>11</v>
      </c>
      <c r="Q89" s="97">
        <f t="shared" si="42"/>
        <v>11</v>
      </c>
      <c r="R89" s="215"/>
      <c r="S89" s="215"/>
      <c r="T89" s="215"/>
      <c r="U89" s="215"/>
      <c r="V89" s="215"/>
      <c r="W89" s="215"/>
      <c r="X89" s="215"/>
      <c r="Y89" s="215">
        <f t="shared" si="36"/>
        <v>11</v>
      </c>
      <c r="Z89" s="120"/>
      <c r="AA89" s="96">
        <f t="shared" si="37"/>
        <v>11</v>
      </c>
      <c r="AB89" s="97">
        <f>IF(C89=2008, AA89/3,AA89)+Z89</f>
        <v>11</v>
      </c>
      <c r="AC89" s="22"/>
      <c r="AD89" s="267"/>
      <c r="AE89" s="215"/>
      <c r="AF89" s="215"/>
      <c r="AG89" s="215"/>
      <c r="AH89" s="215">
        <f>AV89</f>
        <v>11</v>
      </c>
      <c r="AI89" s="120"/>
      <c r="AJ89" s="96">
        <f t="shared" si="38"/>
        <v>11</v>
      </c>
      <c r="AK89" s="97">
        <f>IF(C89=2007, AJ89/3,AJ89)+AI89</f>
        <v>11</v>
      </c>
      <c r="AL89" s="22"/>
      <c r="AM89" s="26"/>
      <c r="AN89" s="26">
        <v>4</v>
      </c>
      <c r="AO89" s="26"/>
      <c r="AP89" s="26">
        <f>5+2</f>
        <v>7</v>
      </c>
      <c r="AQ89" s="26"/>
      <c r="AR89" s="26"/>
      <c r="AS89" s="26"/>
      <c r="AT89" s="95"/>
      <c r="AU89" s="96">
        <f>SUM(AM89:AS89)</f>
        <v>11</v>
      </c>
      <c r="AV89" s="97">
        <f>IF(C89=2006, AU89/3,AU89)+AT89</f>
        <v>11</v>
      </c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</row>
    <row r="90" spans="1:67" s="3" customFormat="1" x14ac:dyDescent="0.25">
      <c r="A90" s="60" t="s">
        <v>452</v>
      </c>
      <c r="B90" s="65" t="s">
        <v>36</v>
      </c>
      <c r="C90" s="62">
        <v>2007</v>
      </c>
      <c r="D90" s="1">
        <f t="shared" si="39"/>
        <v>24</v>
      </c>
      <c r="E90" s="250"/>
      <c r="F90" s="250"/>
      <c r="G90" s="120"/>
      <c r="H90" s="13"/>
      <c r="I90" s="154"/>
      <c r="J90" s="154"/>
      <c r="K90" s="154"/>
      <c r="L90" s="154"/>
      <c r="M90" s="154"/>
      <c r="N90" s="267">
        <f t="shared" si="40"/>
        <v>24</v>
      </c>
      <c r="O90" s="152"/>
      <c r="P90" s="96">
        <f t="shared" si="41"/>
        <v>24</v>
      </c>
      <c r="Q90" s="97">
        <f t="shared" si="42"/>
        <v>24</v>
      </c>
      <c r="R90" s="154"/>
      <c r="S90" s="256"/>
      <c r="T90" s="256"/>
      <c r="U90" s="256"/>
      <c r="V90" s="256"/>
      <c r="W90" s="256"/>
      <c r="X90" s="256"/>
      <c r="Y90" s="215">
        <f t="shared" si="36"/>
        <v>24</v>
      </c>
      <c r="Z90" s="120"/>
      <c r="AA90" s="96">
        <f t="shared" si="37"/>
        <v>24</v>
      </c>
      <c r="AB90" s="97">
        <f>IF(C90=2008, AA90/3,AA90)+Z90</f>
        <v>24</v>
      </c>
      <c r="AC90" s="22"/>
      <c r="AD90" s="267"/>
      <c r="AE90" s="201"/>
      <c r="AF90" s="201">
        <f>4</f>
        <v>4</v>
      </c>
      <c r="AG90" s="201">
        <f>10</f>
        <v>10</v>
      </c>
      <c r="AH90" s="201">
        <f>AV90</f>
        <v>58</v>
      </c>
      <c r="AI90" s="120"/>
      <c r="AJ90" s="96">
        <f t="shared" si="38"/>
        <v>72</v>
      </c>
      <c r="AK90" s="97">
        <f>IF(C90=2007, AJ90/3,AJ90)+AI90</f>
        <v>24</v>
      </c>
      <c r="AL90" s="22"/>
      <c r="AM90" s="13"/>
      <c r="AN90" s="13"/>
      <c r="AO90" s="13"/>
      <c r="AP90" s="13"/>
      <c r="AQ90" s="13">
        <f>4</f>
        <v>4</v>
      </c>
      <c r="AR90" s="13">
        <f>6+4</f>
        <v>10</v>
      </c>
      <c r="AS90" s="13">
        <f>44</f>
        <v>44</v>
      </c>
      <c r="AT90" s="95"/>
      <c r="AU90" s="96">
        <f>SUM(AM90:AS90)</f>
        <v>58</v>
      </c>
      <c r="AV90" s="97">
        <f>IF(C90=2010, AU90/3,AU90)+AT90</f>
        <v>58</v>
      </c>
    </row>
    <row r="91" spans="1:67" s="3" customFormat="1" x14ac:dyDescent="0.25">
      <c r="A91" s="71" t="s">
        <v>631</v>
      </c>
      <c r="B91" s="65" t="s">
        <v>64</v>
      </c>
      <c r="C91" s="62">
        <v>2006</v>
      </c>
      <c r="D91" s="1">
        <f t="shared" si="39"/>
        <v>99</v>
      </c>
      <c r="E91" s="154"/>
      <c r="F91" s="154"/>
      <c r="G91" s="120"/>
      <c r="H91" s="13"/>
      <c r="I91" s="154"/>
      <c r="J91" s="154">
        <f>24</f>
        <v>24</v>
      </c>
      <c r="K91" s="154"/>
      <c r="L91" s="154"/>
      <c r="M91" s="154"/>
      <c r="N91" s="267">
        <f t="shared" si="40"/>
        <v>75</v>
      </c>
      <c r="O91" s="152"/>
      <c r="P91" s="96">
        <f t="shared" si="41"/>
        <v>99</v>
      </c>
      <c r="Q91" s="97">
        <f t="shared" si="42"/>
        <v>99</v>
      </c>
      <c r="R91" s="154"/>
      <c r="S91" s="256"/>
      <c r="T91" s="256">
        <f>6</f>
        <v>6</v>
      </c>
      <c r="U91" s="256"/>
      <c r="V91" s="256"/>
      <c r="W91" s="256">
        <f>33</f>
        <v>33</v>
      </c>
      <c r="X91" s="256">
        <f>18</f>
        <v>18</v>
      </c>
      <c r="Y91" s="215">
        <f t="shared" si="36"/>
        <v>18</v>
      </c>
      <c r="Z91" s="120"/>
      <c r="AA91" s="96">
        <f t="shared" si="37"/>
        <v>75</v>
      </c>
      <c r="AB91" s="97">
        <f>IF(C91=2008, AA91/3,AA91)+Z91</f>
        <v>75</v>
      </c>
      <c r="AC91" s="22"/>
      <c r="AD91" s="267"/>
      <c r="AE91" s="256"/>
      <c r="AF91" s="256">
        <f>18</f>
        <v>18</v>
      </c>
      <c r="AG91" s="256"/>
      <c r="AH91" s="256"/>
      <c r="AI91" s="120"/>
      <c r="AJ91" s="96">
        <f t="shared" si="38"/>
        <v>18</v>
      </c>
      <c r="AK91" s="97">
        <f>IF(C91=2007, AJ91/3,AJ91)+AI91</f>
        <v>18</v>
      </c>
      <c r="AL91" s="22"/>
      <c r="AM91" s="26"/>
      <c r="AN91" s="26"/>
      <c r="AO91" s="26"/>
      <c r="AP91" s="26"/>
      <c r="AQ91" s="26"/>
      <c r="AR91" s="26"/>
      <c r="AS91" s="26"/>
      <c r="AT91" s="95"/>
      <c r="AU91" s="96"/>
      <c r="AV91" s="97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</row>
    <row r="92" spans="1:67" s="3" customFormat="1" x14ac:dyDescent="0.25">
      <c r="A92" s="60" t="s">
        <v>357</v>
      </c>
      <c r="B92" s="65" t="s">
        <v>63</v>
      </c>
      <c r="C92" s="62">
        <v>2009</v>
      </c>
      <c r="D92" s="1">
        <f t="shared" si="39"/>
        <v>212.33333333333334</v>
      </c>
      <c r="E92" s="287">
        <f>15</f>
        <v>15</v>
      </c>
      <c r="F92" s="287"/>
      <c r="G92" s="120"/>
      <c r="H92" s="290"/>
      <c r="I92" s="261">
        <f>12</f>
        <v>12</v>
      </c>
      <c r="J92" s="246">
        <f>9</f>
        <v>9</v>
      </c>
      <c r="K92" s="241">
        <f>15</f>
        <v>15</v>
      </c>
      <c r="L92" s="228">
        <f>33</f>
        <v>33</v>
      </c>
      <c r="M92" s="215">
        <f>3</f>
        <v>3</v>
      </c>
      <c r="N92" s="267">
        <f t="shared" si="40"/>
        <v>520</v>
      </c>
      <c r="O92" s="120"/>
      <c r="P92" s="96">
        <f t="shared" si="41"/>
        <v>592</v>
      </c>
      <c r="Q92" s="97">
        <f t="shared" si="42"/>
        <v>197.33333333333334</v>
      </c>
      <c r="R92" s="215"/>
      <c r="S92" s="201"/>
      <c r="T92" s="201">
        <f>3+9</f>
        <v>12</v>
      </c>
      <c r="U92" s="201">
        <f>3+6</f>
        <v>9</v>
      </c>
      <c r="V92" s="201">
        <f>9+6+6</f>
        <v>21</v>
      </c>
      <c r="W92" s="201">
        <f>9+39+9</f>
        <v>57</v>
      </c>
      <c r="X92" s="201">
        <f>21+15+9</f>
        <v>45</v>
      </c>
      <c r="Y92" s="215">
        <f t="shared" si="36"/>
        <v>367</v>
      </c>
      <c r="Z92" s="120">
        <f>9</f>
        <v>9</v>
      </c>
      <c r="AA92" s="96">
        <f t="shared" si="37"/>
        <v>511</v>
      </c>
      <c r="AB92" s="97">
        <f>IF(C92=2012, AA92/3,AA92)+Z92</f>
        <v>520</v>
      </c>
      <c r="AC92" s="22"/>
      <c r="AD92" s="267">
        <f>6+6</f>
        <v>12</v>
      </c>
      <c r="AE92" s="50"/>
      <c r="AF92" s="50">
        <f>90+69</f>
        <v>159</v>
      </c>
      <c r="AG92" s="50">
        <f>9+15</f>
        <v>24</v>
      </c>
      <c r="AH92" s="50">
        <f>AV92</f>
        <v>169</v>
      </c>
      <c r="AI92" s="120">
        <f>3</f>
        <v>3</v>
      </c>
      <c r="AJ92" s="96">
        <f t="shared" si="38"/>
        <v>364</v>
      </c>
      <c r="AK92" s="97">
        <f>IF(C92=2011, AJ92/3,AJ92)+AI92</f>
        <v>367</v>
      </c>
      <c r="AL92" s="22"/>
      <c r="AM92" s="13"/>
      <c r="AN92" s="13"/>
      <c r="AO92" s="13"/>
      <c r="AP92" s="13">
        <f>15+12</f>
        <v>27</v>
      </c>
      <c r="AQ92" s="13">
        <f>0</f>
        <v>0</v>
      </c>
      <c r="AR92" s="13">
        <f>51+6</f>
        <v>57</v>
      </c>
      <c r="AS92" s="13">
        <f>79</f>
        <v>79</v>
      </c>
      <c r="AT92" s="95">
        <f>6</f>
        <v>6</v>
      </c>
      <c r="AU92" s="96">
        <f>SUM(AM92:AS92)</f>
        <v>163</v>
      </c>
      <c r="AV92" s="97">
        <f>IF(C92=2010, AU92/3,AU92)+AT92</f>
        <v>169</v>
      </c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</row>
    <row r="93" spans="1:67" s="3" customFormat="1" x14ac:dyDescent="0.25">
      <c r="A93" s="60" t="s">
        <v>270</v>
      </c>
      <c r="B93" s="65" t="s">
        <v>36</v>
      </c>
      <c r="C93" s="62">
        <v>2008</v>
      </c>
      <c r="D93" s="1">
        <f t="shared" si="39"/>
        <v>16</v>
      </c>
      <c r="E93" s="154"/>
      <c r="F93" s="154"/>
      <c r="G93" s="120"/>
      <c r="H93" s="13"/>
      <c r="I93" s="261"/>
      <c r="J93" s="246"/>
      <c r="K93" s="241"/>
      <c r="L93" s="228"/>
      <c r="M93" s="215"/>
      <c r="N93" s="267">
        <f t="shared" si="40"/>
        <v>16</v>
      </c>
      <c r="O93" s="120"/>
      <c r="P93" s="96">
        <f t="shared" si="41"/>
        <v>16</v>
      </c>
      <c r="Q93" s="97">
        <f t="shared" si="42"/>
        <v>16</v>
      </c>
      <c r="R93" s="215"/>
      <c r="S93" s="201"/>
      <c r="T93" s="192"/>
      <c r="U93" s="183"/>
      <c r="V93" s="168"/>
      <c r="W93" s="50"/>
      <c r="X93" s="50"/>
      <c r="Y93" s="215">
        <f t="shared" si="36"/>
        <v>48</v>
      </c>
      <c r="Z93" s="120"/>
      <c r="AA93" s="96">
        <f t="shared" si="37"/>
        <v>48</v>
      </c>
      <c r="AB93" s="97">
        <f>IF(C93=2008, AA93/3,AA93)+Z93</f>
        <v>16</v>
      </c>
      <c r="AC93" s="22"/>
      <c r="AD93" s="267"/>
      <c r="AE93" s="50"/>
      <c r="AF93" s="50"/>
      <c r="AG93" s="50"/>
      <c r="AH93" s="50">
        <f>AV93</f>
        <v>48</v>
      </c>
      <c r="AI93" s="120"/>
      <c r="AJ93" s="96">
        <f t="shared" si="38"/>
        <v>48</v>
      </c>
      <c r="AK93" s="97">
        <f>IF(C93=2011, AJ93/3,AJ93)+AI93</f>
        <v>48</v>
      </c>
      <c r="AL93" s="22"/>
      <c r="AM93" s="13"/>
      <c r="AN93" s="13"/>
      <c r="AO93" s="13">
        <f>3+3</f>
        <v>6</v>
      </c>
      <c r="AP93" s="13">
        <f>24+18</f>
        <v>42</v>
      </c>
      <c r="AQ93" s="13"/>
      <c r="AR93" s="13"/>
      <c r="AS93" s="13"/>
      <c r="AT93" s="95"/>
      <c r="AU93" s="96">
        <f>SUM(AM93:AS93)</f>
        <v>48</v>
      </c>
      <c r="AV93" s="97">
        <f>IF(C93=2010, AU93/3,AU93)+AT93</f>
        <v>48</v>
      </c>
    </row>
    <row r="94" spans="1:67" s="3" customFormat="1" x14ac:dyDescent="0.25">
      <c r="A94" s="60" t="s">
        <v>349</v>
      </c>
      <c r="B94" s="65" t="s">
        <v>0</v>
      </c>
      <c r="C94" s="62">
        <v>2009</v>
      </c>
      <c r="D94" s="1">
        <f t="shared" si="39"/>
        <v>69.666666666666671</v>
      </c>
      <c r="E94" s="283"/>
      <c r="F94" s="278"/>
      <c r="G94" s="120"/>
      <c r="H94" s="280"/>
      <c r="I94" s="287"/>
      <c r="J94" s="287"/>
      <c r="K94" s="287"/>
      <c r="L94" s="287">
        <f>0</f>
        <v>0</v>
      </c>
      <c r="M94" s="287"/>
      <c r="N94" s="267">
        <f t="shared" si="40"/>
        <v>209</v>
      </c>
      <c r="O94" s="120"/>
      <c r="P94" s="96">
        <f t="shared" si="41"/>
        <v>209</v>
      </c>
      <c r="Q94" s="97">
        <f t="shared" si="42"/>
        <v>69.666666666666671</v>
      </c>
      <c r="R94" s="287"/>
      <c r="S94" s="256">
        <f>16</f>
        <v>16</v>
      </c>
      <c r="T94" s="256">
        <f>14</f>
        <v>14</v>
      </c>
      <c r="U94" s="256">
        <f>24</f>
        <v>24</v>
      </c>
      <c r="V94" s="256">
        <f>38</f>
        <v>38</v>
      </c>
      <c r="W94" s="256">
        <f>6</f>
        <v>6</v>
      </c>
      <c r="X94" s="256">
        <f>42+3</f>
        <v>45</v>
      </c>
      <c r="Y94" s="215">
        <f t="shared" si="36"/>
        <v>63</v>
      </c>
      <c r="Z94" s="120">
        <f>3</f>
        <v>3</v>
      </c>
      <c r="AA94" s="96">
        <f t="shared" si="37"/>
        <v>206</v>
      </c>
      <c r="AB94" s="97">
        <f>IF(C94=2012, AA94/3,AA94)+Z94</f>
        <v>209</v>
      </c>
      <c r="AC94" s="22"/>
      <c r="AD94" s="267">
        <f>14</f>
        <v>14</v>
      </c>
      <c r="AE94" s="256">
        <f>6</f>
        <v>6</v>
      </c>
      <c r="AF94" s="256">
        <f>37</f>
        <v>37</v>
      </c>
      <c r="AG94" s="256"/>
      <c r="AH94" s="256">
        <f>AV94</f>
        <v>6</v>
      </c>
      <c r="AI94" s="120"/>
      <c r="AJ94" s="96">
        <f t="shared" si="38"/>
        <v>63</v>
      </c>
      <c r="AK94" s="97">
        <f>IF(C94=2011, AJ94/3,AJ94)+AI94</f>
        <v>63</v>
      </c>
      <c r="AL94" s="22"/>
      <c r="AM94" s="13"/>
      <c r="AN94" s="13"/>
      <c r="AO94" s="13"/>
      <c r="AP94" s="13">
        <f>6</f>
        <v>6</v>
      </c>
      <c r="AQ94" s="13"/>
      <c r="AR94" s="13"/>
      <c r="AS94" s="13"/>
      <c r="AT94" s="95"/>
      <c r="AU94" s="96">
        <f>SUM(AM94:AS94)</f>
        <v>6</v>
      </c>
      <c r="AV94" s="97">
        <f>IF(C94=2010, AU94/3,AU94)+AT94</f>
        <v>6</v>
      </c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</row>
    <row r="95" spans="1:67" s="3" customFormat="1" x14ac:dyDescent="0.25">
      <c r="A95" s="11" t="s">
        <v>454</v>
      </c>
      <c r="B95" s="60" t="s">
        <v>7</v>
      </c>
      <c r="C95" s="62">
        <v>2009</v>
      </c>
      <c r="D95" s="1">
        <f t="shared" si="39"/>
        <v>9.6666666666666661</v>
      </c>
      <c r="E95" s="154"/>
      <c r="F95" s="154"/>
      <c r="G95" s="120"/>
      <c r="H95" s="13"/>
      <c r="I95" s="261"/>
      <c r="J95" s="246"/>
      <c r="K95" s="241"/>
      <c r="L95" s="228"/>
      <c r="M95" s="215"/>
      <c r="N95" s="267">
        <f t="shared" si="40"/>
        <v>29</v>
      </c>
      <c r="O95" s="120"/>
      <c r="P95" s="96">
        <f t="shared" si="41"/>
        <v>29</v>
      </c>
      <c r="Q95" s="97">
        <f t="shared" si="42"/>
        <v>9.6666666666666661</v>
      </c>
      <c r="R95" s="215"/>
      <c r="S95" s="201"/>
      <c r="T95" s="192"/>
      <c r="U95" s="192"/>
      <c r="V95" s="192"/>
      <c r="W95" s="192"/>
      <c r="X95" s="192"/>
      <c r="Y95" s="215">
        <f t="shared" si="36"/>
        <v>29</v>
      </c>
      <c r="Z95" s="120"/>
      <c r="AA95" s="96">
        <f t="shared" si="37"/>
        <v>29</v>
      </c>
      <c r="AB95" s="97">
        <f>IF(C95=2012, AA95/3,AA95)+Z95</f>
        <v>29</v>
      </c>
      <c r="AC95" s="287"/>
      <c r="AD95" s="267"/>
      <c r="AE95" s="192">
        <f>8</f>
        <v>8</v>
      </c>
      <c r="AF95" s="192">
        <f>0</f>
        <v>0</v>
      </c>
      <c r="AG95" s="192">
        <f>0+1</f>
        <v>1</v>
      </c>
      <c r="AH95" s="192">
        <f>AV95</f>
        <v>17</v>
      </c>
      <c r="AI95" s="120">
        <f>3</f>
        <v>3</v>
      </c>
      <c r="AJ95" s="96">
        <f t="shared" si="38"/>
        <v>26</v>
      </c>
      <c r="AK95" s="97">
        <f>IF(C95=2011, AJ95/3,AJ95)+AI95</f>
        <v>29</v>
      </c>
      <c r="AL95" s="22"/>
      <c r="AM95" s="41"/>
      <c r="AN95" s="41"/>
      <c r="AO95" s="41"/>
      <c r="AP95" s="41"/>
      <c r="AQ95" s="41">
        <f>15</f>
        <v>15</v>
      </c>
      <c r="AR95" s="41">
        <f>0+2</f>
        <v>2</v>
      </c>
      <c r="AS95" s="13"/>
      <c r="AT95" s="95"/>
      <c r="AU95" s="96">
        <f>SUM(AM95:AS95)</f>
        <v>17</v>
      </c>
      <c r="AV95" s="97">
        <f>IF(C95=2015, AU95/3,AU95)+AT95</f>
        <v>17</v>
      </c>
    </row>
    <row r="96" spans="1:67" s="3" customFormat="1" x14ac:dyDescent="0.25">
      <c r="A96" s="11" t="s">
        <v>275</v>
      </c>
      <c r="B96" s="19" t="s">
        <v>0</v>
      </c>
      <c r="C96" s="3">
        <v>2008</v>
      </c>
      <c r="D96" s="1">
        <f t="shared" si="39"/>
        <v>165.33333333333334</v>
      </c>
      <c r="E96" s="287"/>
      <c r="F96" s="287"/>
      <c r="G96" s="120"/>
      <c r="H96" s="280"/>
      <c r="I96" s="261"/>
      <c r="J96" s="261"/>
      <c r="K96" s="261"/>
      <c r="L96" s="261"/>
      <c r="M96" s="261"/>
      <c r="N96" s="267">
        <f t="shared" si="40"/>
        <v>165.33333333333334</v>
      </c>
      <c r="O96" s="120"/>
      <c r="P96" s="96">
        <f t="shared" si="41"/>
        <v>165.33333333333334</v>
      </c>
      <c r="Q96" s="97">
        <f t="shared" si="42"/>
        <v>165.33333333333334</v>
      </c>
      <c r="R96" s="261"/>
      <c r="S96" s="261"/>
      <c r="T96" s="261"/>
      <c r="U96" s="261"/>
      <c r="V96" s="261">
        <f>6</f>
        <v>6</v>
      </c>
      <c r="W96" s="261"/>
      <c r="X96" s="261"/>
      <c r="Y96" s="228">
        <f t="shared" si="36"/>
        <v>472</v>
      </c>
      <c r="Z96" s="120">
        <f>3+3</f>
        <v>6</v>
      </c>
      <c r="AA96" s="96">
        <f t="shared" si="37"/>
        <v>478</v>
      </c>
      <c r="AB96" s="97">
        <f>IF(C96=2008, AA96/3,AA96)+Z96</f>
        <v>165.33333333333334</v>
      </c>
      <c r="AC96" s="22"/>
      <c r="AD96" s="267">
        <f>0</f>
        <v>0</v>
      </c>
      <c r="AE96" s="228"/>
      <c r="AF96" s="228">
        <f>162</f>
        <v>162</v>
      </c>
      <c r="AG96" s="228"/>
      <c r="AH96" s="228">
        <f>AV96</f>
        <v>310</v>
      </c>
      <c r="AI96" s="120"/>
      <c r="AJ96" s="96">
        <f t="shared" si="38"/>
        <v>472</v>
      </c>
      <c r="AK96" s="97">
        <f>IF(C96=2011, AJ96/3,AJ96)+AI96</f>
        <v>472</v>
      </c>
      <c r="AL96" s="22"/>
      <c r="AM96" s="13"/>
      <c r="AN96" s="13"/>
      <c r="AO96" s="13">
        <f>21</f>
        <v>21</v>
      </c>
      <c r="AP96" s="13"/>
      <c r="AQ96" s="13">
        <f>6+6</f>
        <v>12</v>
      </c>
      <c r="AR96" s="13">
        <f>51+3</f>
        <v>54</v>
      </c>
      <c r="AS96" s="13">
        <f>223</f>
        <v>223</v>
      </c>
      <c r="AT96" s="95"/>
      <c r="AU96" s="96">
        <f>SUM(AM96:AS96)</f>
        <v>310</v>
      </c>
      <c r="AV96" s="97">
        <f>IF(C96=2010, AU96/3,AU96)+AT96</f>
        <v>310</v>
      </c>
    </row>
    <row r="97" spans="1:67" s="3" customFormat="1" x14ac:dyDescent="0.25">
      <c r="A97" s="60" t="s">
        <v>581</v>
      </c>
      <c r="B97" s="65" t="s">
        <v>7</v>
      </c>
      <c r="C97" s="62">
        <v>1996</v>
      </c>
      <c r="D97" s="1">
        <f t="shared" si="39"/>
        <v>90</v>
      </c>
      <c r="E97" s="154"/>
      <c r="F97" s="154"/>
      <c r="G97" s="120"/>
      <c r="H97" s="13"/>
      <c r="I97" s="154"/>
      <c r="J97" s="154"/>
      <c r="K97" s="154"/>
      <c r="L97" s="154"/>
      <c r="M97" s="154"/>
      <c r="N97" s="267">
        <f t="shared" si="40"/>
        <v>90</v>
      </c>
      <c r="O97" s="122"/>
      <c r="P97" s="96">
        <f t="shared" si="41"/>
        <v>90</v>
      </c>
      <c r="Q97" s="97">
        <f t="shared" si="42"/>
        <v>90</v>
      </c>
      <c r="R97" s="154"/>
      <c r="S97" s="241"/>
      <c r="T97" s="241"/>
      <c r="U97" s="241"/>
      <c r="V97" s="241"/>
      <c r="W97" s="241"/>
      <c r="X97" s="241"/>
      <c r="Y97" s="228">
        <f t="shared" si="36"/>
        <v>90</v>
      </c>
      <c r="Z97" s="120"/>
      <c r="AA97" s="96">
        <f t="shared" si="37"/>
        <v>90</v>
      </c>
      <c r="AB97" s="97">
        <f>IF(C97=2008, AA97/3,AA97)+Z97</f>
        <v>90</v>
      </c>
      <c r="AC97" s="22"/>
      <c r="AD97" s="267"/>
      <c r="AE97" s="241">
        <f>18</f>
        <v>18</v>
      </c>
      <c r="AF97" s="241">
        <f>42</f>
        <v>42</v>
      </c>
      <c r="AG97" s="241">
        <f>30</f>
        <v>30</v>
      </c>
      <c r="AH97" s="241"/>
      <c r="AI97" s="120"/>
      <c r="AJ97" s="96">
        <f t="shared" si="38"/>
        <v>90</v>
      </c>
      <c r="AK97" s="97">
        <f>IF(C97=2007, AJ97/3,AJ97)+AI97</f>
        <v>90</v>
      </c>
      <c r="AL97" s="22"/>
      <c r="AM97" s="26"/>
      <c r="AN97" s="26"/>
      <c r="AO97" s="26"/>
      <c r="AP97" s="26"/>
      <c r="AQ97" s="26"/>
      <c r="AR97" s="26"/>
      <c r="AS97" s="26"/>
      <c r="AT97" s="95"/>
      <c r="AU97" s="96"/>
      <c r="AV97" s="97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</row>
    <row r="98" spans="1:67" s="3" customFormat="1" x14ac:dyDescent="0.25">
      <c r="A98" s="60" t="s">
        <v>787</v>
      </c>
      <c r="B98" s="60" t="s">
        <v>697</v>
      </c>
      <c r="C98" s="62">
        <v>2009</v>
      </c>
      <c r="D98" s="1">
        <f t="shared" si="39"/>
        <v>3</v>
      </c>
      <c r="E98" s="154"/>
      <c r="F98" s="154"/>
      <c r="G98" s="120"/>
      <c r="H98" s="13"/>
      <c r="I98" s="287"/>
      <c r="J98" s="287"/>
      <c r="K98" s="287"/>
      <c r="L98" s="287"/>
      <c r="M98" s="287"/>
      <c r="N98" s="267">
        <f t="shared" si="40"/>
        <v>9</v>
      </c>
      <c r="O98" s="120"/>
      <c r="P98" s="96">
        <f t="shared" si="41"/>
        <v>9</v>
      </c>
      <c r="Q98" s="97">
        <f t="shared" si="42"/>
        <v>3</v>
      </c>
      <c r="R98" s="287"/>
      <c r="S98" s="201"/>
      <c r="T98" s="192"/>
      <c r="U98" s="183"/>
      <c r="V98" s="168"/>
      <c r="W98" s="50">
        <f>0+3</f>
        <v>3</v>
      </c>
      <c r="X98" s="50">
        <f>0</f>
        <v>0</v>
      </c>
      <c r="Y98" s="215">
        <f t="shared" si="36"/>
        <v>0</v>
      </c>
      <c r="Z98" s="120">
        <f>6</f>
        <v>6</v>
      </c>
      <c r="AA98" s="96">
        <f t="shared" si="37"/>
        <v>3</v>
      </c>
      <c r="AB98" s="97">
        <f>IF(C98=2012, AA98/3,AA98)+Z98</f>
        <v>9</v>
      </c>
      <c r="AC98" s="22"/>
      <c r="AD98" s="267"/>
      <c r="AE98" s="50"/>
      <c r="AF98" s="50"/>
      <c r="AG98" s="50"/>
      <c r="AH98" s="50"/>
      <c r="AI98" s="120"/>
      <c r="AJ98" s="96">
        <f t="shared" si="38"/>
        <v>0</v>
      </c>
      <c r="AK98" s="97"/>
      <c r="AL98" s="22"/>
      <c r="AM98" s="13"/>
      <c r="AN98" s="13"/>
      <c r="AO98" s="13"/>
      <c r="AP98" s="13"/>
      <c r="AQ98" s="13"/>
      <c r="AR98" s="13"/>
      <c r="AS98" s="13"/>
      <c r="AT98" s="95"/>
      <c r="AU98" s="96"/>
      <c r="AV98" s="97"/>
    </row>
    <row r="99" spans="1:67" s="17" customFormat="1" x14ac:dyDescent="0.25">
      <c r="A99" s="60" t="s">
        <v>649</v>
      </c>
      <c r="B99" s="65" t="s">
        <v>7</v>
      </c>
      <c r="C99" s="62">
        <v>2009</v>
      </c>
      <c r="D99" s="1">
        <f t="shared" si="39"/>
        <v>13.333333333333334</v>
      </c>
      <c r="E99" s="283"/>
      <c r="F99" s="278"/>
      <c r="G99" s="120"/>
      <c r="H99" s="280"/>
      <c r="I99" s="287"/>
      <c r="J99" s="287"/>
      <c r="K99" s="287"/>
      <c r="L99" s="287"/>
      <c r="M99" s="287"/>
      <c r="N99" s="267">
        <f t="shared" si="40"/>
        <v>40</v>
      </c>
      <c r="O99" s="120"/>
      <c r="P99" s="96">
        <f t="shared" si="41"/>
        <v>40</v>
      </c>
      <c r="Q99" s="97">
        <f t="shared" si="42"/>
        <v>13.333333333333334</v>
      </c>
      <c r="R99" s="287"/>
      <c r="S99" s="201"/>
      <c r="T99" s="192"/>
      <c r="U99" s="183"/>
      <c r="V99" s="168"/>
      <c r="W99" s="50"/>
      <c r="X99" s="50"/>
      <c r="Y99" s="215">
        <f t="shared" si="36"/>
        <v>40</v>
      </c>
      <c r="Z99" s="120"/>
      <c r="AA99" s="96">
        <f t="shared" si="37"/>
        <v>40</v>
      </c>
      <c r="AB99" s="97">
        <f>IF(C99=2012, AA99/3,AA99)+Z99</f>
        <v>40</v>
      </c>
      <c r="AC99" s="22"/>
      <c r="AD99" s="228"/>
      <c r="AE99" s="50"/>
      <c r="AF99" s="50"/>
      <c r="AG99" s="50"/>
      <c r="AH99" s="50">
        <f>40</f>
        <v>40</v>
      </c>
      <c r="AI99" s="120"/>
      <c r="AJ99" s="96">
        <f t="shared" si="38"/>
        <v>40</v>
      </c>
      <c r="AK99" s="97">
        <f>IF(C99=2011, AJ99/3,AJ99)+AI99</f>
        <v>40</v>
      </c>
      <c r="AL99" s="22"/>
      <c r="AM99" s="13"/>
      <c r="AN99" s="13"/>
      <c r="AO99" s="13"/>
      <c r="AP99" s="13"/>
      <c r="AQ99" s="13"/>
      <c r="AR99" s="13"/>
      <c r="AS99" s="13"/>
      <c r="AT99" s="95"/>
      <c r="AU99" s="96"/>
      <c r="AV99" s="97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</row>
    <row r="100" spans="1:67" s="3" customFormat="1" x14ac:dyDescent="0.25">
      <c r="A100" s="12" t="s">
        <v>1188</v>
      </c>
      <c r="B100" s="65" t="s">
        <v>87</v>
      </c>
      <c r="C100" s="4">
        <v>2007</v>
      </c>
      <c r="D100" s="1">
        <f t="shared" si="39"/>
        <v>42</v>
      </c>
      <c r="E100" s="287"/>
      <c r="F100" s="287"/>
      <c r="G100" s="120"/>
      <c r="H100" s="13"/>
      <c r="I100" s="261"/>
      <c r="J100" s="246"/>
      <c r="K100" s="241"/>
      <c r="L100" s="228">
        <f>42</f>
        <v>42</v>
      </c>
      <c r="M100" s="215"/>
      <c r="N100" s="267">
        <f t="shared" si="40"/>
        <v>0</v>
      </c>
      <c r="O100" s="152"/>
      <c r="P100" s="96">
        <f t="shared" si="41"/>
        <v>42</v>
      </c>
      <c r="Q100" s="97">
        <f t="shared" si="42"/>
        <v>42</v>
      </c>
      <c r="R100" s="215"/>
      <c r="S100" s="159"/>
      <c r="T100" s="159"/>
      <c r="U100" s="159"/>
      <c r="V100" s="159"/>
      <c r="W100" s="159"/>
      <c r="X100" s="159"/>
      <c r="Y100" s="159"/>
      <c r="Z100" s="26"/>
      <c r="AA100" s="96">
        <f t="shared" si="37"/>
        <v>0</v>
      </c>
      <c r="AB100" s="97">
        <f>IF(C100=2008, AA100/3,AA100)+Z100</f>
        <v>0</v>
      </c>
      <c r="AC100" s="26"/>
      <c r="AD100" s="26"/>
      <c r="AE100" s="26"/>
      <c r="AF100" s="26"/>
      <c r="AG100" s="26"/>
      <c r="AH100" s="26"/>
      <c r="AI100" s="26"/>
      <c r="AJ100" s="4"/>
      <c r="AK100" s="4"/>
      <c r="AL100" s="26"/>
      <c r="AM100" s="26"/>
      <c r="AN100" s="26"/>
      <c r="AO100" s="26"/>
      <c r="AP100" s="26"/>
      <c r="AQ100" s="26"/>
      <c r="AR100" s="26"/>
      <c r="AS100" s="26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</row>
    <row r="101" spans="1:67" s="3" customFormat="1" x14ac:dyDescent="0.25">
      <c r="A101" s="60" t="s">
        <v>511</v>
      </c>
      <c r="B101" s="65" t="s">
        <v>7</v>
      </c>
      <c r="C101" s="62">
        <v>2009</v>
      </c>
      <c r="D101" s="1">
        <f t="shared" si="39"/>
        <v>13</v>
      </c>
      <c r="E101" s="287"/>
      <c r="F101" s="287"/>
      <c r="G101" s="120"/>
      <c r="H101" s="280"/>
      <c r="I101" s="154"/>
      <c r="J101" s="154"/>
      <c r="K101" s="154"/>
      <c r="L101" s="154"/>
      <c r="M101" s="154"/>
      <c r="N101" s="267">
        <f t="shared" si="40"/>
        <v>39</v>
      </c>
      <c r="O101" s="120"/>
      <c r="P101" s="96">
        <f t="shared" si="41"/>
        <v>39</v>
      </c>
      <c r="Q101" s="97">
        <f t="shared" si="42"/>
        <v>13</v>
      </c>
      <c r="R101" s="154"/>
      <c r="S101" s="201"/>
      <c r="T101" s="192"/>
      <c r="U101" s="183"/>
      <c r="V101" s="168"/>
      <c r="W101" s="50"/>
      <c r="X101" s="50"/>
      <c r="Y101" s="215">
        <f>AK101</f>
        <v>39</v>
      </c>
      <c r="Z101" s="120"/>
      <c r="AA101" s="96">
        <f t="shared" si="37"/>
        <v>39</v>
      </c>
      <c r="AB101" s="97">
        <f>IF(C101=2012, AA101/3,AA101)+Z101</f>
        <v>39</v>
      </c>
      <c r="AC101" s="22"/>
      <c r="AD101" s="50"/>
      <c r="AE101" s="50"/>
      <c r="AF101" s="50"/>
      <c r="AG101" s="50"/>
      <c r="AH101" s="50">
        <f>AV101</f>
        <v>39</v>
      </c>
      <c r="AI101" s="120"/>
      <c r="AJ101" s="96">
        <f>SUM(AD101:AH101)</f>
        <v>39</v>
      </c>
      <c r="AK101" s="97">
        <f>IF(C101=2011, AJ101/3,AJ101)+AI101</f>
        <v>39</v>
      </c>
      <c r="AL101" s="22"/>
      <c r="AM101" s="13"/>
      <c r="AN101" s="13"/>
      <c r="AO101" s="13"/>
      <c r="AP101" s="13"/>
      <c r="AQ101" s="13"/>
      <c r="AR101" s="13">
        <f>39</f>
        <v>39</v>
      </c>
      <c r="AS101" s="13"/>
      <c r="AT101" s="95"/>
      <c r="AU101" s="96">
        <f>SUM(AM101:AS101)</f>
        <v>39</v>
      </c>
      <c r="AV101" s="97">
        <f>IF(C101=2010, AU101/3,AU101)+AT101</f>
        <v>39</v>
      </c>
    </row>
    <row r="102" spans="1:67" s="3" customFormat="1" x14ac:dyDescent="0.25">
      <c r="A102" s="60" t="s">
        <v>661</v>
      </c>
      <c r="B102" s="65" t="s">
        <v>598</v>
      </c>
      <c r="C102" s="62">
        <v>2008</v>
      </c>
      <c r="D102" s="1">
        <f t="shared" si="39"/>
        <v>91.333333333333329</v>
      </c>
      <c r="E102" s="108"/>
      <c r="F102" s="108"/>
      <c r="G102" s="120"/>
      <c r="H102" s="101"/>
      <c r="I102" s="287"/>
      <c r="J102" s="287"/>
      <c r="K102" s="287"/>
      <c r="L102" s="287"/>
      <c r="M102" s="287"/>
      <c r="N102" s="267">
        <f t="shared" si="40"/>
        <v>91.333333333333329</v>
      </c>
      <c r="O102" s="120"/>
      <c r="P102" s="96">
        <f t="shared" si="41"/>
        <v>91.333333333333329</v>
      </c>
      <c r="Q102" s="97">
        <f t="shared" si="42"/>
        <v>91.333333333333329</v>
      </c>
      <c r="R102" s="287"/>
      <c r="S102" s="201"/>
      <c r="T102" s="192"/>
      <c r="U102" s="183"/>
      <c r="V102" s="168"/>
      <c r="W102" s="50"/>
      <c r="X102" s="50"/>
      <c r="Y102" s="215">
        <f>AK102</f>
        <v>274</v>
      </c>
      <c r="Z102" s="120"/>
      <c r="AA102" s="96">
        <f t="shared" si="37"/>
        <v>274</v>
      </c>
      <c r="AB102" s="97">
        <f>IF(C102=2008, AA102/3,AA102)+Z102</f>
        <v>91.333333333333329</v>
      </c>
      <c r="AC102" s="22"/>
      <c r="AD102" s="50"/>
      <c r="AE102" s="50"/>
      <c r="AF102" s="50">
        <f>90+69</f>
        <v>159</v>
      </c>
      <c r="AG102" s="50"/>
      <c r="AH102" s="50">
        <v>115</v>
      </c>
      <c r="AI102" s="120"/>
      <c r="AJ102" s="96">
        <f>SUM(AD102:AH102)</f>
        <v>274</v>
      </c>
      <c r="AK102" s="97">
        <f>IF(C102=2011, AJ102/3,AJ102)+AI102</f>
        <v>274</v>
      </c>
      <c r="AL102" s="22"/>
      <c r="AM102" s="13"/>
      <c r="AN102" s="13"/>
      <c r="AO102" s="13"/>
      <c r="AP102" s="13"/>
      <c r="AQ102" s="13"/>
      <c r="AR102" s="13"/>
      <c r="AS102" s="13"/>
      <c r="AT102" s="95"/>
      <c r="AU102" s="96"/>
      <c r="AV102" s="97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</row>
    <row r="103" spans="1:67" s="3" customFormat="1" x14ac:dyDescent="0.25">
      <c r="A103" s="12" t="s">
        <v>1205</v>
      </c>
      <c r="B103" s="65" t="s">
        <v>87</v>
      </c>
      <c r="C103" s="4">
        <v>2006</v>
      </c>
      <c r="D103" s="1">
        <f t="shared" si="39"/>
        <v>0</v>
      </c>
      <c r="E103" s="283"/>
      <c r="F103" s="278"/>
      <c r="G103" s="120"/>
      <c r="H103" s="13"/>
      <c r="I103" s="287"/>
      <c r="J103" s="287"/>
      <c r="K103" s="287"/>
      <c r="L103" s="287">
        <f>0</f>
        <v>0</v>
      </c>
      <c r="M103" s="287"/>
      <c r="N103" s="267">
        <f t="shared" si="40"/>
        <v>0</v>
      </c>
      <c r="O103" s="152"/>
      <c r="P103" s="96">
        <f t="shared" si="41"/>
        <v>0</v>
      </c>
      <c r="Q103" s="97">
        <f t="shared" si="42"/>
        <v>0</v>
      </c>
      <c r="R103" s="287"/>
      <c r="S103" s="159"/>
      <c r="T103" s="159"/>
      <c r="U103" s="159"/>
      <c r="V103" s="159"/>
      <c r="W103" s="159"/>
      <c r="X103" s="159"/>
      <c r="Y103" s="159"/>
      <c r="Z103" s="26"/>
      <c r="AA103" s="96">
        <f t="shared" si="37"/>
        <v>0</v>
      </c>
      <c r="AB103" s="97">
        <f>IF('Adults female'!C29=2008, AA103/3,AA103)+Z103</f>
        <v>0</v>
      </c>
      <c r="AC103" s="26"/>
      <c r="AD103" s="26"/>
      <c r="AE103" s="26"/>
      <c r="AF103" s="26"/>
      <c r="AG103" s="26"/>
      <c r="AH103" s="26"/>
      <c r="AI103" s="26"/>
      <c r="AJ103" s="4"/>
      <c r="AK103" s="4"/>
      <c r="AL103" s="26"/>
      <c r="AM103" s="26"/>
      <c r="AN103" s="26"/>
      <c r="AO103" s="26"/>
      <c r="AP103" s="26"/>
      <c r="AQ103" s="26"/>
      <c r="AR103" s="26"/>
      <c r="AS103" s="26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</row>
    <row r="104" spans="1:67" s="3" customFormat="1" x14ac:dyDescent="0.25">
      <c r="A104" s="11" t="s">
        <v>282</v>
      </c>
      <c r="B104" s="19" t="s">
        <v>231</v>
      </c>
      <c r="C104" s="3">
        <v>2007</v>
      </c>
      <c r="D104" s="1">
        <f t="shared" si="39"/>
        <v>199</v>
      </c>
      <c r="E104" s="154"/>
      <c r="F104" s="154"/>
      <c r="G104" s="120"/>
      <c r="H104" s="280"/>
      <c r="I104" s="261"/>
      <c r="J104" s="246"/>
      <c r="K104" s="241"/>
      <c r="L104" s="228"/>
      <c r="M104" s="215"/>
      <c r="N104" s="267">
        <f t="shared" si="40"/>
        <v>199</v>
      </c>
      <c r="O104" s="120"/>
      <c r="P104" s="96">
        <f t="shared" si="41"/>
        <v>199</v>
      </c>
      <c r="Q104" s="97">
        <f t="shared" si="42"/>
        <v>199</v>
      </c>
      <c r="R104" s="215"/>
      <c r="S104" s="201"/>
      <c r="T104" s="192"/>
      <c r="U104" s="183"/>
      <c r="V104" s="168"/>
      <c r="W104" s="50"/>
      <c r="X104" s="50">
        <f>27</f>
        <v>27</v>
      </c>
      <c r="Y104" s="215">
        <f t="shared" ref="Y104:Y130" si="43">AK104</f>
        <v>172</v>
      </c>
      <c r="Z104" s="120"/>
      <c r="AA104" s="96">
        <f t="shared" si="37"/>
        <v>199</v>
      </c>
      <c r="AB104" s="97">
        <f>IF(C104=2008, AA104/3,AA104)+Z104</f>
        <v>199</v>
      </c>
      <c r="AC104" s="22"/>
      <c r="AD104" s="50">
        <f>6</f>
        <v>6</v>
      </c>
      <c r="AE104" s="50">
        <f>18</f>
        <v>18</v>
      </c>
      <c r="AF104" s="50">
        <f>267</f>
        <v>267</v>
      </c>
      <c r="AG104" s="50">
        <f>18</f>
        <v>18</v>
      </c>
      <c r="AH104" s="50">
        <f>AV104</f>
        <v>207</v>
      </c>
      <c r="AI104" s="120"/>
      <c r="AJ104" s="96">
        <f t="shared" ref="AJ104:AJ130" si="44">SUM(AD104:AH104)</f>
        <v>516</v>
      </c>
      <c r="AK104" s="97">
        <f>IF(C104=2007, AJ104/3,AJ104)+AI104</f>
        <v>172</v>
      </c>
      <c r="AL104" s="22"/>
      <c r="AM104" s="13"/>
      <c r="AN104" s="13"/>
      <c r="AO104" s="13">
        <f>15</f>
        <v>15</v>
      </c>
      <c r="AP104" s="13">
        <f>48</f>
        <v>48</v>
      </c>
      <c r="AQ104" s="13"/>
      <c r="AR104" s="13">
        <f>24</f>
        <v>24</v>
      </c>
      <c r="AS104" s="13">
        <f>120</f>
        <v>120</v>
      </c>
      <c r="AT104" s="95"/>
      <c r="AU104" s="96">
        <f>SUM(AM104:AS104)</f>
        <v>207</v>
      </c>
      <c r="AV104" s="97">
        <f>IF(C104=2010, AU104/3,AU104)+AT104</f>
        <v>207</v>
      </c>
    </row>
    <row r="105" spans="1:67" s="3" customFormat="1" x14ac:dyDescent="0.25">
      <c r="A105" s="60" t="s">
        <v>379</v>
      </c>
      <c r="B105" s="65" t="s">
        <v>378</v>
      </c>
      <c r="C105" s="62">
        <v>2009</v>
      </c>
      <c r="D105" s="1">
        <f t="shared" si="39"/>
        <v>0.66666666666666663</v>
      </c>
      <c r="E105" s="283"/>
      <c r="F105" s="278"/>
      <c r="G105" s="120"/>
      <c r="H105" s="290"/>
      <c r="I105" s="154"/>
      <c r="J105" s="154"/>
      <c r="K105" s="154"/>
      <c r="L105" s="154"/>
      <c r="M105" s="154"/>
      <c r="N105" s="267">
        <f t="shared" si="40"/>
        <v>2</v>
      </c>
      <c r="O105" s="120"/>
      <c r="P105" s="96">
        <f t="shared" si="41"/>
        <v>2</v>
      </c>
      <c r="Q105" s="97">
        <f t="shared" si="42"/>
        <v>0.66666666666666663</v>
      </c>
      <c r="R105" s="154"/>
      <c r="S105" s="201"/>
      <c r="T105" s="192"/>
      <c r="U105" s="183"/>
      <c r="V105" s="168"/>
      <c r="W105" s="50"/>
      <c r="X105" s="50"/>
      <c r="Y105" s="215">
        <f t="shared" si="43"/>
        <v>2</v>
      </c>
      <c r="Z105" s="120"/>
      <c r="AA105" s="96">
        <f t="shared" si="37"/>
        <v>2</v>
      </c>
      <c r="AB105" s="97">
        <f>IF(C105=2012, AA105/3,AA105)+Z105</f>
        <v>2</v>
      </c>
      <c r="AC105" s="22"/>
      <c r="AD105" s="50"/>
      <c r="AE105" s="50"/>
      <c r="AF105" s="50"/>
      <c r="AG105" s="50"/>
      <c r="AH105" s="50">
        <f>AV105</f>
        <v>2</v>
      </c>
      <c r="AI105" s="120"/>
      <c r="AJ105" s="96">
        <f t="shared" si="44"/>
        <v>2</v>
      </c>
      <c r="AK105" s="97">
        <f>IF(C105=2011, AJ105/3,AJ105)+AI105</f>
        <v>2</v>
      </c>
      <c r="AL105" s="22"/>
      <c r="AM105" s="13"/>
      <c r="AN105" s="13"/>
      <c r="AO105" s="13"/>
      <c r="AP105" s="13">
        <f>2</f>
        <v>2</v>
      </c>
      <c r="AQ105" s="13"/>
      <c r="AR105" s="13"/>
      <c r="AS105" s="13"/>
      <c r="AT105" s="95"/>
      <c r="AU105" s="96">
        <f>SUM(AM105:AS105)</f>
        <v>2</v>
      </c>
      <c r="AV105" s="97">
        <f>IF(C105=2010, AU105/3,AU105)+AT105</f>
        <v>2</v>
      </c>
    </row>
    <row r="106" spans="1:67" s="3" customFormat="1" x14ac:dyDescent="0.25">
      <c r="A106" s="60" t="s">
        <v>573</v>
      </c>
      <c r="B106" s="65" t="s">
        <v>64</v>
      </c>
      <c r="C106" s="62">
        <v>2009</v>
      </c>
      <c r="D106" s="1">
        <f t="shared" si="39"/>
        <v>9</v>
      </c>
      <c r="E106" s="287"/>
      <c r="F106" s="287"/>
      <c r="G106" s="120"/>
      <c r="H106" s="13"/>
      <c r="I106" s="154"/>
      <c r="J106" s="154"/>
      <c r="K106" s="154"/>
      <c r="L106" s="154"/>
      <c r="M106" s="154"/>
      <c r="N106" s="267">
        <f t="shared" si="40"/>
        <v>27</v>
      </c>
      <c r="O106" s="120"/>
      <c r="P106" s="96">
        <f t="shared" si="41"/>
        <v>27</v>
      </c>
      <c r="Q106" s="97">
        <f t="shared" si="42"/>
        <v>9</v>
      </c>
      <c r="R106" s="154"/>
      <c r="S106" s="201"/>
      <c r="T106" s="192"/>
      <c r="U106" s="183"/>
      <c r="V106" s="168">
        <f>0+3+3</f>
        <v>6</v>
      </c>
      <c r="W106" s="50"/>
      <c r="X106" s="50">
        <f>21</f>
        <v>21</v>
      </c>
      <c r="Y106" s="215">
        <f t="shared" si="43"/>
        <v>0</v>
      </c>
      <c r="Z106" s="120"/>
      <c r="AA106" s="96">
        <f t="shared" si="37"/>
        <v>27</v>
      </c>
      <c r="AB106" s="97">
        <f>IF(C106=2012, AA106/3,AA106)+Z106</f>
        <v>27</v>
      </c>
      <c r="AC106" s="22"/>
      <c r="AD106" s="50"/>
      <c r="AE106" s="50"/>
      <c r="AF106" s="50"/>
      <c r="AG106" s="50">
        <f>0</f>
        <v>0</v>
      </c>
      <c r="AH106" s="50"/>
      <c r="AI106" s="120"/>
      <c r="AJ106" s="96">
        <f t="shared" si="44"/>
        <v>0</v>
      </c>
      <c r="AK106" s="97">
        <f>IF(C106=2011, AJ106/3,AJ106)+AI106</f>
        <v>0</v>
      </c>
      <c r="AL106" s="22"/>
      <c r="AM106" s="13"/>
      <c r="AN106" s="13"/>
      <c r="AO106" s="13"/>
      <c r="AP106" s="13"/>
      <c r="AQ106" s="13"/>
      <c r="AR106" s="13"/>
      <c r="AS106" s="13"/>
      <c r="AT106" s="95"/>
      <c r="AU106" s="96"/>
      <c r="AV106" s="97"/>
    </row>
    <row r="107" spans="1:67" s="27" customFormat="1" x14ac:dyDescent="0.25">
      <c r="A107" s="60" t="s">
        <v>164</v>
      </c>
      <c r="B107" s="65" t="s">
        <v>111</v>
      </c>
      <c r="C107" s="62">
        <v>2008</v>
      </c>
      <c r="D107" s="1">
        <f t="shared" si="39"/>
        <v>43</v>
      </c>
      <c r="E107" s="283"/>
      <c r="F107" s="278"/>
      <c r="G107" s="120"/>
      <c r="H107" s="290"/>
      <c r="I107" s="154"/>
      <c r="J107" s="154"/>
      <c r="K107" s="154"/>
      <c r="L107" s="154"/>
      <c r="M107" s="154"/>
      <c r="N107" s="267">
        <f t="shared" si="40"/>
        <v>43</v>
      </c>
      <c r="O107" s="152"/>
      <c r="P107" s="96">
        <f t="shared" si="41"/>
        <v>43</v>
      </c>
      <c r="Q107" s="97">
        <f t="shared" si="42"/>
        <v>43</v>
      </c>
      <c r="R107" s="154"/>
      <c r="S107" s="201"/>
      <c r="T107" s="192"/>
      <c r="U107" s="183"/>
      <c r="V107" s="168"/>
      <c r="W107" s="50"/>
      <c r="X107" s="50"/>
      <c r="Y107" s="215">
        <f t="shared" si="43"/>
        <v>129</v>
      </c>
      <c r="Z107" s="120"/>
      <c r="AA107" s="96">
        <f t="shared" si="37"/>
        <v>129</v>
      </c>
      <c r="AB107" s="97">
        <f>IF(C107=2008, AA107/3,AA107)+Z107</f>
        <v>43</v>
      </c>
      <c r="AC107" s="22"/>
      <c r="AD107" s="50"/>
      <c r="AE107" s="50">
        <f>22+21</f>
        <v>43</v>
      </c>
      <c r="AF107" s="50">
        <f>36</f>
        <v>36</v>
      </c>
      <c r="AG107" s="50"/>
      <c r="AH107" s="50">
        <f>AV107</f>
        <v>50</v>
      </c>
      <c r="AI107" s="120"/>
      <c r="AJ107" s="96">
        <f t="shared" si="44"/>
        <v>129</v>
      </c>
      <c r="AK107" s="97">
        <f>IF(C107=2011, AJ107/3,AJ107)+AI107</f>
        <v>129</v>
      </c>
      <c r="AL107" s="22"/>
      <c r="AM107" s="13"/>
      <c r="AN107" s="13">
        <f>15+1</f>
        <v>16</v>
      </c>
      <c r="AO107" s="13"/>
      <c r="AP107" s="13">
        <f>17+5</f>
        <v>22</v>
      </c>
      <c r="AQ107" s="13">
        <f>9+3</f>
        <v>12</v>
      </c>
      <c r="AR107" s="13"/>
      <c r="AS107" s="13"/>
      <c r="AT107" s="95"/>
      <c r="AU107" s="96">
        <f>SUM(AM107:AS107)</f>
        <v>50</v>
      </c>
      <c r="AV107" s="97">
        <f>IF(C107=2010, AU107/3,AU107)+AT107</f>
        <v>50</v>
      </c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spans="1:67" s="17" customFormat="1" x14ac:dyDescent="0.25">
      <c r="A108" s="60" t="s">
        <v>345</v>
      </c>
      <c r="B108" s="65" t="s">
        <v>111</v>
      </c>
      <c r="C108" s="62">
        <v>2007</v>
      </c>
      <c r="D108" s="1">
        <f t="shared" si="39"/>
        <v>4</v>
      </c>
      <c r="E108" s="154"/>
      <c r="F108" s="154"/>
      <c r="G108" s="120"/>
      <c r="H108" s="290"/>
      <c r="I108" s="287"/>
      <c r="J108" s="287"/>
      <c r="K108" s="287"/>
      <c r="L108" s="287"/>
      <c r="M108" s="287"/>
      <c r="N108" s="267">
        <f t="shared" si="40"/>
        <v>4</v>
      </c>
      <c r="O108" s="120"/>
      <c r="P108" s="96">
        <f t="shared" si="41"/>
        <v>4</v>
      </c>
      <c r="Q108" s="97">
        <f t="shared" si="42"/>
        <v>4</v>
      </c>
      <c r="R108" s="287"/>
      <c r="S108" s="201"/>
      <c r="T108" s="192"/>
      <c r="U108" s="183"/>
      <c r="V108" s="168"/>
      <c r="W108" s="50"/>
      <c r="X108" s="50"/>
      <c r="Y108" s="215">
        <f t="shared" si="43"/>
        <v>4</v>
      </c>
      <c r="Z108" s="120"/>
      <c r="AA108" s="96">
        <f t="shared" si="37"/>
        <v>4</v>
      </c>
      <c r="AB108" s="97">
        <f>IF(C108=2008, AA108/3,AA108)+Z108</f>
        <v>4</v>
      </c>
      <c r="AC108" s="22"/>
      <c r="AD108" s="50"/>
      <c r="AE108" s="50"/>
      <c r="AF108" s="50"/>
      <c r="AG108" s="50"/>
      <c r="AH108" s="50">
        <f>AV108</f>
        <v>12</v>
      </c>
      <c r="AI108" s="120"/>
      <c r="AJ108" s="96">
        <f t="shared" si="44"/>
        <v>12</v>
      </c>
      <c r="AK108" s="97">
        <f>IF(C108=2007, AJ108/3,AJ108)+AI108</f>
        <v>4</v>
      </c>
      <c r="AL108" s="22"/>
      <c r="AM108" s="13"/>
      <c r="AN108" s="13"/>
      <c r="AO108" s="13"/>
      <c r="AP108" s="13">
        <f>12</f>
        <v>12</v>
      </c>
      <c r="AQ108" s="13"/>
      <c r="AR108" s="13"/>
      <c r="AS108" s="13"/>
      <c r="AT108" s="95"/>
      <c r="AU108" s="96">
        <f>SUM(AM108:AS108)</f>
        <v>12</v>
      </c>
      <c r="AV108" s="97">
        <f>IF(C108=2010, AU108/3,AU108)+AT108</f>
        <v>12</v>
      </c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spans="1:67" s="17" customFormat="1" x14ac:dyDescent="0.25">
      <c r="A109" s="60" t="s">
        <v>177</v>
      </c>
      <c r="B109" s="65" t="s">
        <v>86</v>
      </c>
      <c r="C109" s="62">
        <v>2009</v>
      </c>
      <c r="D109" s="1">
        <f t="shared" si="39"/>
        <v>19.666666666666668</v>
      </c>
      <c r="E109" s="154"/>
      <c r="F109" s="154"/>
      <c r="G109" s="120"/>
      <c r="H109" s="290"/>
      <c r="I109" s="287"/>
      <c r="J109" s="287"/>
      <c r="K109" s="287"/>
      <c r="L109" s="287"/>
      <c r="M109" s="287"/>
      <c r="N109" s="267">
        <f t="shared" si="40"/>
        <v>59</v>
      </c>
      <c r="O109" s="120"/>
      <c r="P109" s="96">
        <f t="shared" si="41"/>
        <v>59</v>
      </c>
      <c r="Q109" s="97">
        <f t="shared" si="42"/>
        <v>19.666666666666668</v>
      </c>
      <c r="R109" s="287"/>
      <c r="S109" s="201"/>
      <c r="T109" s="192"/>
      <c r="U109" s="183"/>
      <c r="V109" s="168"/>
      <c r="W109" s="50"/>
      <c r="X109" s="50"/>
      <c r="Y109" s="215">
        <f t="shared" si="43"/>
        <v>59</v>
      </c>
      <c r="Z109" s="120"/>
      <c r="AA109" s="96">
        <f t="shared" si="37"/>
        <v>59</v>
      </c>
      <c r="AB109" s="97">
        <f>IF(C109=2012, AA109/3,AA109)+Z109</f>
        <v>59</v>
      </c>
      <c r="AC109" s="22"/>
      <c r="AD109" s="50"/>
      <c r="AE109" s="50"/>
      <c r="AF109" s="50"/>
      <c r="AG109" s="50"/>
      <c r="AH109" s="50">
        <f>AV109</f>
        <v>59</v>
      </c>
      <c r="AI109" s="120"/>
      <c r="AJ109" s="96">
        <f t="shared" si="44"/>
        <v>59</v>
      </c>
      <c r="AK109" s="97">
        <f>IF(C109=2011, AJ109/3,AJ109)+AI109</f>
        <v>59</v>
      </c>
      <c r="AL109" s="22"/>
      <c r="AM109" s="13"/>
      <c r="AN109" s="13">
        <v>15</v>
      </c>
      <c r="AO109" s="13"/>
      <c r="AP109" s="13"/>
      <c r="AQ109" s="13"/>
      <c r="AR109" s="13">
        <f>27</f>
        <v>27</v>
      </c>
      <c r="AS109" s="13">
        <f>14</f>
        <v>14</v>
      </c>
      <c r="AT109" s="95">
        <f>3</f>
        <v>3</v>
      </c>
      <c r="AU109" s="96">
        <f>SUM(AM109:AS109)</f>
        <v>56</v>
      </c>
      <c r="AV109" s="97">
        <f>IF(C109=2010, AU109/3,AU109)+AT109</f>
        <v>59</v>
      </c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spans="1:67" s="17" customFormat="1" x14ac:dyDescent="0.25">
      <c r="A110" s="61" t="s">
        <v>676</v>
      </c>
      <c r="B110" s="85" t="s">
        <v>64</v>
      </c>
      <c r="C110" s="63">
        <v>2008</v>
      </c>
      <c r="D110" s="1">
        <f t="shared" si="39"/>
        <v>4</v>
      </c>
      <c r="E110" s="287"/>
      <c r="F110" s="287"/>
      <c r="G110" s="120"/>
      <c r="H110" s="13"/>
      <c r="I110" s="154"/>
      <c r="J110" s="154"/>
      <c r="K110" s="154"/>
      <c r="L110" s="154"/>
      <c r="M110" s="154"/>
      <c r="N110" s="267">
        <f t="shared" si="40"/>
        <v>4</v>
      </c>
      <c r="O110" s="152"/>
      <c r="P110" s="96">
        <f t="shared" si="41"/>
        <v>4</v>
      </c>
      <c r="Q110" s="97">
        <f t="shared" si="42"/>
        <v>4</v>
      </c>
      <c r="R110" s="154"/>
      <c r="S110" s="201"/>
      <c r="T110" s="192"/>
      <c r="U110" s="183"/>
      <c r="V110" s="168"/>
      <c r="W110" s="50"/>
      <c r="X110" s="50"/>
      <c r="Y110" s="215">
        <f t="shared" si="43"/>
        <v>12</v>
      </c>
      <c r="Z110" s="120"/>
      <c r="AA110" s="96">
        <f t="shared" si="37"/>
        <v>12</v>
      </c>
      <c r="AB110" s="97">
        <f t="shared" ref="AB110:AB123" si="45">IF(C110=2008, AA110/3,AA110)+Z110</f>
        <v>4</v>
      </c>
      <c r="AC110" s="22"/>
      <c r="AD110" s="50"/>
      <c r="AE110" s="50"/>
      <c r="AF110" s="50"/>
      <c r="AG110" s="50"/>
      <c r="AH110" s="50">
        <f>AV110</f>
        <v>12</v>
      </c>
      <c r="AI110" s="120"/>
      <c r="AJ110" s="96">
        <f t="shared" si="44"/>
        <v>12</v>
      </c>
      <c r="AK110" s="97">
        <f>IF(C110=2011, AJ110/3,AJ110)+AI110</f>
        <v>12</v>
      </c>
      <c r="AL110" s="22"/>
      <c r="AM110" s="13"/>
      <c r="AN110" s="13">
        <v>4</v>
      </c>
      <c r="AO110" s="13"/>
      <c r="AP110" s="13"/>
      <c r="AQ110" s="13"/>
      <c r="AR110" s="13"/>
      <c r="AS110" s="13">
        <f>8</f>
        <v>8</v>
      </c>
      <c r="AT110" s="95"/>
      <c r="AU110" s="96">
        <f>SUM(AM110:AS110)</f>
        <v>12</v>
      </c>
      <c r="AV110" s="97">
        <f>IF(C110=2010, AU110/3,AU110)+AT110</f>
        <v>12</v>
      </c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spans="1:67" s="27" customFormat="1" x14ac:dyDescent="0.25">
      <c r="A111" s="60" t="s">
        <v>525</v>
      </c>
      <c r="B111" s="65" t="s">
        <v>7</v>
      </c>
      <c r="C111" s="62">
        <v>2008</v>
      </c>
      <c r="D111" s="1">
        <f t="shared" si="39"/>
        <v>2.3333333333333335</v>
      </c>
      <c r="E111" s="283"/>
      <c r="F111" s="278"/>
      <c r="G111" s="120"/>
      <c r="H111" s="13"/>
      <c r="I111" s="108"/>
      <c r="J111" s="108"/>
      <c r="K111" s="108"/>
      <c r="L111" s="108"/>
      <c r="M111" s="108"/>
      <c r="N111" s="267">
        <f t="shared" si="40"/>
        <v>2.3333333333333335</v>
      </c>
      <c r="O111" s="122"/>
      <c r="P111" s="96">
        <f t="shared" si="41"/>
        <v>2.3333333333333335</v>
      </c>
      <c r="Q111" s="97">
        <f t="shared" si="42"/>
        <v>2.3333333333333335</v>
      </c>
      <c r="R111" s="108"/>
      <c r="S111" s="201"/>
      <c r="T111" s="192"/>
      <c r="U111" s="183"/>
      <c r="V111" s="168"/>
      <c r="W111" s="50"/>
      <c r="X111" s="50"/>
      <c r="Y111" s="215">
        <f t="shared" si="43"/>
        <v>7</v>
      </c>
      <c r="Z111" s="120"/>
      <c r="AA111" s="96">
        <f t="shared" ref="AA111:AA130" si="46">S111+T111+U111+V111+W111+X111+Y111</f>
        <v>7</v>
      </c>
      <c r="AB111" s="97">
        <f t="shared" si="45"/>
        <v>2.3333333333333335</v>
      </c>
      <c r="AC111" s="22"/>
      <c r="AD111" s="50"/>
      <c r="AE111" s="50">
        <f>5</f>
        <v>5</v>
      </c>
      <c r="AF111" s="50"/>
      <c r="AG111" s="50">
        <f>0</f>
        <v>0</v>
      </c>
      <c r="AH111" s="50">
        <f>AV111</f>
        <v>2</v>
      </c>
      <c r="AI111" s="120"/>
      <c r="AJ111" s="96">
        <f t="shared" si="44"/>
        <v>7</v>
      </c>
      <c r="AK111" s="97">
        <f>IF(C111=2011, AJ111/3,AJ111)+AI111</f>
        <v>7</v>
      </c>
      <c r="AL111" s="22"/>
      <c r="AM111" s="13"/>
      <c r="AN111" s="13"/>
      <c r="AO111" s="13"/>
      <c r="AP111" s="13"/>
      <c r="AQ111" s="13"/>
      <c r="AR111" s="13">
        <f>2</f>
        <v>2</v>
      </c>
      <c r="AS111" s="13"/>
      <c r="AT111" s="95"/>
      <c r="AU111" s="96">
        <f>SUM(AM111:AS111)</f>
        <v>2</v>
      </c>
      <c r="AV111" s="97">
        <f>IF(C111=2010, AU111/3,AU111)+AT111</f>
        <v>2</v>
      </c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spans="1:67" s="3" customFormat="1" x14ac:dyDescent="0.25">
      <c r="A112" s="60" t="s">
        <v>572</v>
      </c>
      <c r="B112" s="65" t="s">
        <v>231</v>
      </c>
      <c r="C112" s="62">
        <v>2007</v>
      </c>
      <c r="D112" s="1">
        <f t="shared" si="39"/>
        <v>19.333333333333332</v>
      </c>
      <c r="E112" s="154"/>
      <c r="F112" s="154"/>
      <c r="G112" s="120"/>
      <c r="H112" s="280"/>
      <c r="I112" s="287"/>
      <c r="J112" s="287"/>
      <c r="K112" s="287"/>
      <c r="L112" s="287"/>
      <c r="M112" s="287"/>
      <c r="N112" s="267">
        <f t="shared" si="40"/>
        <v>19.333333333333332</v>
      </c>
      <c r="O112" s="152"/>
      <c r="P112" s="96">
        <f t="shared" si="41"/>
        <v>19.333333333333332</v>
      </c>
      <c r="Q112" s="97">
        <f t="shared" si="42"/>
        <v>19.333333333333332</v>
      </c>
      <c r="R112" s="287"/>
      <c r="S112" s="201"/>
      <c r="T112" s="192"/>
      <c r="U112" s="183"/>
      <c r="V112" s="168"/>
      <c r="W112" s="50"/>
      <c r="X112" s="50">
        <f>2</f>
        <v>2</v>
      </c>
      <c r="Y112" s="215">
        <f t="shared" si="43"/>
        <v>17.333333333333332</v>
      </c>
      <c r="Z112" s="120"/>
      <c r="AA112" s="96">
        <f t="shared" si="46"/>
        <v>19.333333333333332</v>
      </c>
      <c r="AB112" s="97">
        <f t="shared" si="45"/>
        <v>19.333333333333332</v>
      </c>
      <c r="AC112" s="22"/>
      <c r="AD112" s="50">
        <f>11</f>
        <v>11</v>
      </c>
      <c r="AE112" s="50">
        <f>0</f>
        <v>0</v>
      </c>
      <c r="AF112" s="50">
        <f>22</f>
        <v>22</v>
      </c>
      <c r="AG112" s="50">
        <f>19</f>
        <v>19</v>
      </c>
      <c r="AH112" s="50"/>
      <c r="AI112" s="120"/>
      <c r="AJ112" s="96">
        <f t="shared" si="44"/>
        <v>52</v>
      </c>
      <c r="AK112" s="97">
        <f>IF(C112=2007, AJ112/3,AJ112)+AI112</f>
        <v>17.333333333333332</v>
      </c>
      <c r="AL112" s="22"/>
      <c r="AM112" s="13"/>
      <c r="AN112" s="13"/>
      <c r="AO112" s="13"/>
      <c r="AP112" s="13"/>
      <c r="AQ112" s="13"/>
      <c r="AR112" s="13"/>
      <c r="AS112" s="13"/>
      <c r="AT112" s="95"/>
      <c r="AU112" s="96"/>
      <c r="AV112" s="97"/>
    </row>
    <row r="113" spans="1:67" s="27" customFormat="1" x14ac:dyDescent="0.25">
      <c r="A113" s="51" t="s">
        <v>22</v>
      </c>
      <c r="B113" s="19" t="s">
        <v>36</v>
      </c>
      <c r="C113" s="52">
        <v>2008</v>
      </c>
      <c r="D113" s="1">
        <f t="shared" si="39"/>
        <v>75.333333333333329</v>
      </c>
      <c r="E113" s="283"/>
      <c r="F113" s="278"/>
      <c r="G113" s="120"/>
      <c r="H113" s="13"/>
      <c r="I113" s="154"/>
      <c r="J113" s="154"/>
      <c r="K113" s="154">
        <f>0</f>
        <v>0</v>
      </c>
      <c r="L113" s="154"/>
      <c r="M113" s="154"/>
      <c r="N113" s="267">
        <f t="shared" si="40"/>
        <v>75.333333333333329</v>
      </c>
      <c r="O113" s="122"/>
      <c r="P113" s="96">
        <f t="shared" si="41"/>
        <v>75.333333333333329</v>
      </c>
      <c r="Q113" s="97">
        <f t="shared" si="42"/>
        <v>75.333333333333329</v>
      </c>
      <c r="R113" s="154"/>
      <c r="S113" s="201"/>
      <c r="T113" s="192"/>
      <c r="U113" s="183"/>
      <c r="V113" s="168"/>
      <c r="W113" s="50"/>
      <c r="X113" s="50"/>
      <c r="Y113" s="215">
        <f t="shared" si="43"/>
        <v>226</v>
      </c>
      <c r="Z113" s="120"/>
      <c r="AA113" s="96">
        <f t="shared" si="46"/>
        <v>226</v>
      </c>
      <c r="AB113" s="97">
        <f t="shared" si="45"/>
        <v>75.333333333333329</v>
      </c>
      <c r="AC113" s="22"/>
      <c r="AD113" s="50">
        <f>34</f>
        <v>34</v>
      </c>
      <c r="AE113" s="50">
        <f>28</f>
        <v>28</v>
      </c>
      <c r="AF113" s="50">
        <f>22</f>
        <v>22</v>
      </c>
      <c r="AG113" s="50">
        <f>14</f>
        <v>14</v>
      </c>
      <c r="AH113" s="50">
        <f>AV113</f>
        <v>128</v>
      </c>
      <c r="AI113" s="120"/>
      <c r="AJ113" s="96">
        <f t="shared" si="44"/>
        <v>226</v>
      </c>
      <c r="AK113" s="97">
        <f>IF(C113=2011, AJ113/3,AJ113)+AI113</f>
        <v>226</v>
      </c>
      <c r="AL113" s="22"/>
      <c r="AM113" s="287">
        <f>0</f>
        <v>0</v>
      </c>
      <c r="AN113" s="287"/>
      <c r="AO113" s="287">
        <f>15</f>
        <v>15</v>
      </c>
      <c r="AP113" s="287">
        <f>24</f>
        <v>24</v>
      </c>
      <c r="AQ113" s="287">
        <f>12</f>
        <v>12</v>
      </c>
      <c r="AR113" s="287">
        <f>20+4</f>
        <v>24</v>
      </c>
      <c r="AS113" s="287">
        <v>53</v>
      </c>
      <c r="AT113" s="95"/>
      <c r="AU113" s="96">
        <f>SUM(AM113:AS113)</f>
        <v>128</v>
      </c>
      <c r="AV113" s="97">
        <f>IF(C113=2010, AU113/3,AU113)+AT113</f>
        <v>128</v>
      </c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</row>
    <row r="114" spans="1:67" s="27" customFormat="1" x14ac:dyDescent="0.25">
      <c r="A114" s="51" t="s">
        <v>753</v>
      </c>
      <c r="B114" s="19" t="s">
        <v>63</v>
      </c>
      <c r="C114" s="52">
        <v>2008</v>
      </c>
      <c r="D114" s="1">
        <f t="shared" si="39"/>
        <v>67</v>
      </c>
      <c r="E114" s="108"/>
      <c r="F114" s="108"/>
      <c r="G114" s="120"/>
      <c r="H114" s="101"/>
      <c r="I114" s="261"/>
      <c r="J114" s="246"/>
      <c r="K114" s="241"/>
      <c r="L114" s="228"/>
      <c r="M114" s="215"/>
      <c r="N114" s="267">
        <f t="shared" si="40"/>
        <v>67</v>
      </c>
      <c r="O114" s="120"/>
      <c r="P114" s="96">
        <f t="shared" si="41"/>
        <v>67</v>
      </c>
      <c r="Q114" s="97">
        <f t="shared" si="42"/>
        <v>67</v>
      </c>
      <c r="R114" s="215"/>
      <c r="S114" s="201"/>
      <c r="T114" s="192"/>
      <c r="U114" s="183">
        <f>4</f>
        <v>4</v>
      </c>
      <c r="V114" s="168">
        <f>24+3+6</f>
        <v>33</v>
      </c>
      <c r="W114" s="50">
        <f>44+4+6</f>
        <v>54</v>
      </c>
      <c r="X114" s="50">
        <f>32+8+9</f>
        <v>49</v>
      </c>
      <c r="Y114" s="215">
        <f t="shared" si="43"/>
        <v>61</v>
      </c>
      <c r="Z114" s="120"/>
      <c r="AA114" s="96">
        <f t="shared" si="46"/>
        <v>201</v>
      </c>
      <c r="AB114" s="97">
        <f t="shared" si="45"/>
        <v>67</v>
      </c>
      <c r="AC114" s="22"/>
      <c r="AD114" s="50"/>
      <c r="AE114" s="50"/>
      <c r="AF114" s="50"/>
      <c r="AG114" s="50"/>
      <c r="AH114" s="50">
        <f>61</f>
        <v>61</v>
      </c>
      <c r="AI114" s="120"/>
      <c r="AJ114" s="96">
        <f t="shared" si="44"/>
        <v>61</v>
      </c>
      <c r="AK114" s="97">
        <f>IF(C114=2011, AJ114/3,AJ114)+AI114</f>
        <v>61</v>
      </c>
      <c r="AL114" s="22"/>
      <c r="AM114" s="287"/>
      <c r="AN114" s="287"/>
      <c r="AO114" s="287"/>
      <c r="AP114" s="287"/>
      <c r="AQ114" s="287"/>
      <c r="AR114" s="287"/>
      <c r="AS114" s="287"/>
      <c r="AT114" s="95"/>
      <c r="AU114" s="96"/>
      <c r="AV114" s="97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</row>
    <row r="115" spans="1:67" s="3" customFormat="1" x14ac:dyDescent="0.25">
      <c r="A115" s="60" t="s">
        <v>220</v>
      </c>
      <c r="B115" s="65" t="s">
        <v>86</v>
      </c>
      <c r="C115" s="62">
        <v>2005</v>
      </c>
      <c r="D115" s="1">
        <f t="shared" si="39"/>
        <v>0</v>
      </c>
      <c r="E115" s="283"/>
      <c r="F115" s="278"/>
      <c r="G115" s="120"/>
      <c r="H115" s="13"/>
      <c r="I115" s="261"/>
      <c r="J115" s="246"/>
      <c r="K115" s="241"/>
      <c r="L115" s="228"/>
      <c r="M115" s="215"/>
      <c r="N115" s="267">
        <f t="shared" si="40"/>
        <v>0</v>
      </c>
      <c r="O115" s="120"/>
      <c r="P115" s="96">
        <f t="shared" si="41"/>
        <v>0</v>
      </c>
      <c r="Q115" s="97">
        <f t="shared" si="42"/>
        <v>0</v>
      </c>
      <c r="R115" s="215"/>
      <c r="S115" s="201"/>
      <c r="T115" s="192"/>
      <c r="U115" s="183"/>
      <c r="V115" s="168"/>
      <c r="W115" s="50"/>
      <c r="X115" s="50"/>
      <c r="Y115" s="215">
        <f t="shared" si="43"/>
        <v>0</v>
      </c>
      <c r="Z115" s="120"/>
      <c r="AA115" s="96">
        <f t="shared" si="46"/>
        <v>0</v>
      </c>
      <c r="AB115" s="97">
        <f t="shared" si="45"/>
        <v>0</v>
      </c>
      <c r="AC115" s="22"/>
      <c r="AD115" s="50"/>
      <c r="AE115" s="50"/>
      <c r="AF115" s="50"/>
      <c r="AG115" s="50"/>
      <c r="AH115" s="50">
        <f t="shared" ref="AH115:AH124" si="47">AV115</f>
        <v>0</v>
      </c>
      <c r="AI115" s="120"/>
      <c r="AJ115" s="96">
        <f t="shared" si="44"/>
        <v>0</v>
      </c>
      <c r="AK115" s="97">
        <f>IF(C115=2007, AJ115/3,AJ115)+AI115</f>
        <v>0</v>
      </c>
      <c r="AL115" s="22"/>
      <c r="AM115" s="26"/>
      <c r="AN115" s="26">
        <v>0</v>
      </c>
      <c r="AO115" s="26"/>
      <c r="AP115" s="26"/>
      <c r="AQ115" s="26"/>
      <c r="AR115" s="26"/>
      <c r="AS115" s="26"/>
      <c r="AT115" s="95"/>
      <c r="AU115" s="96">
        <f t="shared" ref="AU115:AU124" si="48">SUM(AM115:AS115)</f>
        <v>0</v>
      </c>
      <c r="AV115" s="97">
        <f>IF(C115=2006, AU115/3,AU115)+AT115</f>
        <v>0</v>
      </c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</row>
    <row r="116" spans="1:67" x14ac:dyDescent="0.25">
      <c r="A116" s="60" t="s">
        <v>196</v>
      </c>
      <c r="B116" s="65" t="s">
        <v>63</v>
      </c>
      <c r="C116" s="62">
        <v>2007</v>
      </c>
      <c r="D116" s="1">
        <f t="shared" si="39"/>
        <v>111.33333333333333</v>
      </c>
      <c r="E116" s="108"/>
      <c r="F116" s="108"/>
      <c r="H116" s="101"/>
      <c r="I116" s="154"/>
      <c r="J116" s="154"/>
      <c r="K116" s="154"/>
      <c r="L116" s="154"/>
      <c r="M116" s="154"/>
      <c r="N116" s="267">
        <f t="shared" si="40"/>
        <v>111.33333333333333</v>
      </c>
      <c r="O116" s="152"/>
      <c r="P116" s="96">
        <f t="shared" si="41"/>
        <v>111.33333333333333</v>
      </c>
      <c r="Q116" s="97">
        <f t="shared" si="42"/>
        <v>111.33333333333333</v>
      </c>
      <c r="R116" s="154"/>
      <c r="S116" s="201"/>
      <c r="T116" s="192"/>
      <c r="U116" s="183"/>
      <c r="V116" s="168">
        <f>9</f>
        <v>9</v>
      </c>
      <c r="W116" s="50">
        <f>6+9</f>
        <v>15</v>
      </c>
      <c r="X116" s="50"/>
      <c r="Y116" s="215">
        <f t="shared" si="43"/>
        <v>87.333333333333329</v>
      </c>
      <c r="Z116" s="120"/>
      <c r="AA116" s="96">
        <f t="shared" si="46"/>
        <v>111.33333333333333</v>
      </c>
      <c r="AB116" s="97">
        <f t="shared" si="45"/>
        <v>111.33333333333333</v>
      </c>
      <c r="AC116" s="22"/>
      <c r="AD116" s="50"/>
      <c r="AE116" s="50"/>
      <c r="AF116" s="50">
        <f>39+45</f>
        <v>84</v>
      </c>
      <c r="AG116" s="50">
        <f>6</f>
        <v>6</v>
      </c>
      <c r="AH116" s="50">
        <f t="shared" si="47"/>
        <v>163</v>
      </c>
      <c r="AI116" s="120">
        <f>3</f>
        <v>3</v>
      </c>
      <c r="AJ116" s="96">
        <f t="shared" si="44"/>
        <v>253</v>
      </c>
      <c r="AK116" s="97">
        <f>IF(C116=2007, AJ116/3,AJ116)+AI116</f>
        <v>87.333333333333329</v>
      </c>
      <c r="AL116" s="22"/>
      <c r="AM116" s="13"/>
      <c r="AN116" s="13">
        <v>0</v>
      </c>
      <c r="AO116" s="13"/>
      <c r="AP116" s="13">
        <f>3</f>
        <v>3</v>
      </c>
      <c r="AQ116" s="13">
        <f>8+3+6</f>
        <v>17</v>
      </c>
      <c r="AR116" s="13">
        <f>10+6</f>
        <v>16</v>
      </c>
      <c r="AS116" s="13">
        <v>121</v>
      </c>
      <c r="AT116" s="95">
        <f>6</f>
        <v>6</v>
      </c>
      <c r="AU116" s="96">
        <f t="shared" si="48"/>
        <v>157</v>
      </c>
      <c r="AV116" s="97">
        <f>IF(C116=2010, AU116/3,AU116)+AT116</f>
        <v>163</v>
      </c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spans="1:67" s="52" customFormat="1" x14ac:dyDescent="0.25">
      <c r="A117" s="60" t="s">
        <v>498</v>
      </c>
      <c r="B117" s="65" t="s">
        <v>299</v>
      </c>
      <c r="C117" s="62">
        <v>2008</v>
      </c>
      <c r="D117" s="1">
        <f t="shared" si="39"/>
        <v>1</v>
      </c>
      <c r="E117" s="287"/>
      <c r="F117" s="287"/>
      <c r="G117" s="120"/>
      <c r="H117" s="13"/>
      <c r="I117" s="154"/>
      <c r="J117" s="154"/>
      <c r="K117" s="154"/>
      <c r="L117" s="154"/>
      <c r="M117" s="154"/>
      <c r="N117" s="267">
        <f t="shared" si="40"/>
        <v>1</v>
      </c>
      <c r="O117" s="152"/>
      <c r="P117" s="96">
        <f t="shared" si="41"/>
        <v>1</v>
      </c>
      <c r="Q117" s="97">
        <f t="shared" si="42"/>
        <v>1</v>
      </c>
      <c r="R117" s="154"/>
      <c r="S117" s="201"/>
      <c r="T117" s="192"/>
      <c r="U117" s="183"/>
      <c r="V117" s="168"/>
      <c r="W117" s="50"/>
      <c r="X117" s="50"/>
      <c r="Y117" s="215">
        <f t="shared" si="43"/>
        <v>3</v>
      </c>
      <c r="Z117" s="120"/>
      <c r="AA117" s="96">
        <f t="shared" si="46"/>
        <v>3</v>
      </c>
      <c r="AB117" s="97">
        <f t="shared" si="45"/>
        <v>1</v>
      </c>
      <c r="AC117" s="22"/>
      <c r="AD117" s="50"/>
      <c r="AE117" s="50"/>
      <c r="AF117" s="50"/>
      <c r="AG117" s="50"/>
      <c r="AH117" s="50">
        <f t="shared" si="47"/>
        <v>3</v>
      </c>
      <c r="AI117" s="120"/>
      <c r="AJ117" s="96">
        <f t="shared" si="44"/>
        <v>3</v>
      </c>
      <c r="AK117" s="97">
        <f>IF(C117=2011, AJ117/3,AJ117)+AI117</f>
        <v>3</v>
      </c>
      <c r="AL117" s="22"/>
      <c r="AM117" s="13"/>
      <c r="AN117" s="13"/>
      <c r="AO117" s="13"/>
      <c r="AP117" s="13"/>
      <c r="AQ117" s="13"/>
      <c r="AR117" s="13">
        <f>3</f>
        <v>3</v>
      </c>
      <c r="AS117" s="13"/>
      <c r="AT117" s="95"/>
      <c r="AU117" s="96">
        <f t="shared" si="48"/>
        <v>3</v>
      </c>
      <c r="AV117" s="97">
        <f>IF(C117=2010, AU117/3,AU117)+AT117</f>
        <v>3</v>
      </c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spans="1:67" x14ac:dyDescent="0.25">
      <c r="A118" s="11" t="s">
        <v>285</v>
      </c>
      <c r="B118" s="19" t="s">
        <v>231</v>
      </c>
      <c r="C118" s="3">
        <v>2006</v>
      </c>
      <c r="D118" s="1">
        <f t="shared" si="39"/>
        <v>10</v>
      </c>
      <c r="E118" s="154"/>
      <c r="F118" s="154"/>
      <c r="H118" s="290"/>
      <c r="I118" s="108"/>
      <c r="J118" s="108"/>
      <c r="K118" s="108"/>
      <c r="L118" s="108"/>
      <c r="M118" s="108"/>
      <c r="N118" s="267">
        <f t="shared" si="40"/>
        <v>10</v>
      </c>
      <c r="O118" s="122"/>
      <c r="P118" s="96">
        <f t="shared" si="41"/>
        <v>10</v>
      </c>
      <c r="Q118" s="97">
        <f t="shared" si="42"/>
        <v>10</v>
      </c>
      <c r="R118" s="108"/>
      <c r="S118" s="201"/>
      <c r="T118" s="192"/>
      <c r="U118" s="183"/>
      <c r="V118" s="172"/>
      <c r="W118" s="172"/>
      <c r="X118" s="172"/>
      <c r="Y118" s="215">
        <f t="shared" si="43"/>
        <v>10</v>
      </c>
      <c r="Z118" s="120"/>
      <c r="AA118" s="96">
        <f t="shared" si="46"/>
        <v>10</v>
      </c>
      <c r="AB118" s="97">
        <f t="shared" si="45"/>
        <v>10</v>
      </c>
      <c r="AC118" s="22"/>
      <c r="AD118" s="172"/>
      <c r="AE118" s="172"/>
      <c r="AF118" s="172"/>
      <c r="AG118" s="172"/>
      <c r="AH118" s="172">
        <f t="shared" si="47"/>
        <v>10</v>
      </c>
      <c r="AI118" s="120"/>
      <c r="AJ118" s="96">
        <f t="shared" si="44"/>
        <v>10</v>
      </c>
      <c r="AK118" s="97">
        <f>IF(C118=2007, AJ118/3,AJ118)+AI118</f>
        <v>10</v>
      </c>
      <c r="AL118" s="22"/>
      <c r="AM118" s="13"/>
      <c r="AN118" s="13"/>
      <c r="AO118" s="13">
        <f>6</f>
        <v>6</v>
      </c>
      <c r="AP118" s="13">
        <f>18</f>
        <v>18</v>
      </c>
      <c r="AQ118" s="13"/>
      <c r="AR118" s="13"/>
      <c r="AS118" s="13">
        <f>6</f>
        <v>6</v>
      </c>
      <c r="AT118" s="95"/>
      <c r="AU118" s="96">
        <f t="shared" si="48"/>
        <v>30</v>
      </c>
      <c r="AV118" s="97">
        <f>IF(C118=2006, AU118/3,AU118)+AT118</f>
        <v>10</v>
      </c>
    </row>
    <row r="119" spans="1:67" s="3" customFormat="1" x14ac:dyDescent="0.25">
      <c r="A119" s="60" t="s">
        <v>181</v>
      </c>
      <c r="B119" s="65" t="s">
        <v>63</v>
      </c>
      <c r="C119" s="62">
        <v>2008</v>
      </c>
      <c r="D119" s="1">
        <f t="shared" si="39"/>
        <v>0</v>
      </c>
      <c r="E119" s="283"/>
      <c r="F119" s="278"/>
      <c r="G119" s="120"/>
      <c r="H119" s="280"/>
      <c r="I119" s="154"/>
      <c r="J119" s="154"/>
      <c r="K119" s="154"/>
      <c r="L119" s="154"/>
      <c r="M119" s="154"/>
      <c r="N119" s="267">
        <f t="shared" si="40"/>
        <v>0</v>
      </c>
      <c r="O119" s="152"/>
      <c r="P119" s="96">
        <f t="shared" si="41"/>
        <v>0</v>
      </c>
      <c r="Q119" s="97">
        <f t="shared" si="42"/>
        <v>0</v>
      </c>
      <c r="R119" s="154"/>
      <c r="S119" s="215"/>
      <c r="T119" s="215"/>
      <c r="U119" s="215"/>
      <c r="V119" s="215"/>
      <c r="W119" s="215"/>
      <c r="X119" s="215"/>
      <c r="Y119" s="215">
        <f t="shared" si="43"/>
        <v>0</v>
      </c>
      <c r="Z119" s="120"/>
      <c r="AA119" s="96">
        <f t="shared" si="46"/>
        <v>0</v>
      </c>
      <c r="AB119" s="97">
        <f t="shared" si="45"/>
        <v>0</v>
      </c>
      <c r="AC119" s="22"/>
      <c r="AD119" s="215"/>
      <c r="AE119" s="215"/>
      <c r="AF119" s="215"/>
      <c r="AG119" s="215"/>
      <c r="AH119" s="215">
        <f t="shared" si="47"/>
        <v>0</v>
      </c>
      <c r="AI119" s="120"/>
      <c r="AJ119" s="96">
        <f t="shared" si="44"/>
        <v>0</v>
      </c>
      <c r="AK119" s="97">
        <f>IF(C119=2011, AJ119/3,AJ119)+AI119</f>
        <v>0</v>
      </c>
      <c r="AL119" s="22"/>
      <c r="AM119" s="13"/>
      <c r="AN119" s="13">
        <v>0</v>
      </c>
      <c r="AO119" s="13"/>
      <c r="AP119" s="13">
        <f>0</f>
        <v>0</v>
      </c>
      <c r="AQ119" s="13"/>
      <c r="AR119" s="13"/>
      <c r="AS119" s="13"/>
      <c r="AT119" s="95"/>
      <c r="AU119" s="96">
        <f t="shared" si="48"/>
        <v>0</v>
      </c>
      <c r="AV119" s="97">
        <f>IF(C119=2010, AU119/3,AU119)+AT119</f>
        <v>0</v>
      </c>
    </row>
    <row r="120" spans="1:67" s="3" customFormat="1" x14ac:dyDescent="0.25">
      <c r="A120" s="60" t="s">
        <v>501</v>
      </c>
      <c r="B120" s="65" t="s">
        <v>7</v>
      </c>
      <c r="C120" s="62">
        <v>2008</v>
      </c>
      <c r="D120" s="1">
        <f t="shared" si="39"/>
        <v>12</v>
      </c>
      <c r="E120" s="283"/>
      <c r="F120" s="278"/>
      <c r="G120" s="120"/>
      <c r="H120" s="280"/>
      <c r="I120" s="154"/>
      <c r="J120" s="154"/>
      <c r="K120" s="154"/>
      <c r="L120" s="154"/>
      <c r="M120" s="154"/>
      <c r="N120" s="267">
        <f t="shared" si="40"/>
        <v>12</v>
      </c>
      <c r="O120" s="152"/>
      <c r="P120" s="96">
        <f t="shared" si="41"/>
        <v>12</v>
      </c>
      <c r="Q120" s="97">
        <f t="shared" si="42"/>
        <v>12</v>
      </c>
      <c r="R120" s="154"/>
      <c r="S120" s="201"/>
      <c r="T120" s="192"/>
      <c r="U120" s="183"/>
      <c r="V120" s="168"/>
      <c r="W120" s="50"/>
      <c r="X120" s="50"/>
      <c r="Y120" s="215">
        <f t="shared" si="43"/>
        <v>36</v>
      </c>
      <c r="Z120" s="120"/>
      <c r="AA120" s="96">
        <f t="shared" si="46"/>
        <v>36</v>
      </c>
      <c r="AB120" s="97">
        <f t="shared" si="45"/>
        <v>12</v>
      </c>
      <c r="AC120" s="22"/>
      <c r="AD120" s="50"/>
      <c r="AE120" s="50">
        <f>5</f>
        <v>5</v>
      </c>
      <c r="AF120" s="50">
        <f>10</f>
        <v>10</v>
      </c>
      <c r="AG120" s="50">
        <f>16</f>
        <v>16</v>
      </c>
      <c r="AH120" s="50">
        <f t="shared" si="47"/>
        <v>5</v>
      </c>
      <c r="AI120" s="120"/>
      <c r="AJ120" s="96">
        <f t="shared" si="44"/>
        <v>36</v>
      </c>
      <c r="AK120" s="97">
        <f>IF(C120=2011, AJ120/3,AJ120)+AI120</f>
        <v>36</v>
      </c>
      <c r="AL120" s="22"/>
      <c r="AM120" s="13"/>
      <c r="AN120" s="13"/>
      <c r="AO120" s="13"/>
      <c r="AP120" s="13"/>
      <c r="AQ120" s="13"/>
      <c r="AR120" s="13">
        <f>3+2</f>
        <v>5</v>
      </c>
      <c r="AS120" s="13"/>
      <c r="AT120" s="95"/>
      <c r="AU120" s="96">
        <f t="shared" si="48"/>
        <v>5</v>
      </c>
      <c r="AV120" s="97">
        <f>IF(C120=2010, AU120/3,AU120)+AT120</f>
        <v>5</v>
      </c>
    </row>
    <row r="121" spans="1:67" s="3" customFormat="1" ht="14.25" customHeight="1" x14ac:dyDescent="0.25">
      <c r="A121" s="60" t="s">
        <v>215</v>
      </c>
      <c r="B121" s="65" t="s">
        <v>86</v>
      </c>
      <c r="C121" s="62">
        <v>1997</v>
      </c>
      <c r="D121" s="1">
        <f t="shared" si="39"/>
        <v>30</v>
      </c>
      <c r="E121" s="283"/>
      <c r="F121" s="278"/>
      <c r="G121" s="120"/>
      <c r="H121" s="13"/>
      <c r="I121" s="261"/>
      <c r="J121" s="246"/>
      <c r="K121" s="241"/>
      <c r="L121" s="228"/>
      <c r="M121" s="215"/>
      <c r="N121" s="267">
        <f t="shared" si="40"/>
        <v>30</v>
      </c>
      <c r="O121" s="120"/>
      <c r="P121" s="96">
        <f t="shared" si="41"/>
        <v>30</v>
      </c>
      <c r="Q121" s="97">
        <f t="shared" si="42"/>
        <v>30</v>
      </c>
      <c r="R121" s="215"/>
      <c r="S121" s="201"/>
      <c r="T121" s="192"/>
      <c r="U121" s="183"/>
      <c r="V121" s="168"/>
      <c r="W121" s="50"/>
      <c r="X121" s="50"/>
      <c r="Y121" s="215">
        <f t="shared" si="43"/>
        <v>30</v>
      </c>
      <c r="Z121" s="120"/>
      <c r="AA121" s="96">
        <f t="shared" si="46"/>
        <v>30</v>
      </c>
      <c r="AB121" s="97">
        <f t="shared" si="45"/>
        <v>30</v>
      </c>
      <c r="AC121" s="22"/>
      <c r="AD121" s="50"/>
      <c r="AE121" s="50"/>
      <c r="AF121" s="50"/>
      <c r="AG121" s="50"/>
      <c r="AH121" s="50">
        <f t="shared" si="47"/>
        <v>30</v>
      </c>
      <c r="AI121" s="120"/>
      <c r="AJ121" s="96">
        <f t="shared" si="44"/>
        <v>30</v>
      </c>
      <c r="AK121" s="97">
        <f>IF(C121=2007, AJ121/3,AJ121)+AI121</f>
        <v>30</v>
      </c>
      <c r="AL121" s="22"/>
      <c r="AM121" s="26"/>
      <c r="AN121" s="26">
        <f>9+21</f>
        <v>30</v>
      </c>
      <c r="AO121" s="26"/>
      <c r="AP121" s="26"/>
      <c r="AQ121" s="26"/>
      <c r="AR121" s="26"/>
      <c r="AS121" s="26"/>
      <c r="AT121" s="95"/>
      <c r="AU121" s="96">
        <f t="shared" si="48"/>
        <v>30</v>
      </c>
      <c r="AV121" s="97">
        <f>IF(C121=2006, AU121/3,AU121)+AT121</f>
        <v>30</v>
      </c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</row>
    <row r="122" spans="1:67" x14ac:dyDescent="0.25">
      <c r="A122" s="60" t="s">
        <v>532</v>
      </c>
      <c r="B122" s="65" t="s">
        <v>529</v>
      </c>
      <c r="C122" s="62">
        <v>2003</v>
      </c>
      <c r="D122" s="1">
        <f t="shared" si="39"/>
        <v>141</v>
      </c>
      <c r="H122" s="280"/>
      <c r="J122" s="246">
        <f>39</f>
        <v>39</v>
      </c>
      <c r="K122" s="241">
        <f>9</f>
        <v>9</v>
      </c>
      <c r="N122" s="267">
        <f t="shared" si="40"/>
        <v>93</v>
      </c>
      <c r="O122" s="120"/>
      <c r="P122" s="96">
        <f t="shared" si="41"/>
        <v>141</v>
      </c>
      <c r="Q122" s="97">
        <f t="shared" si="42"/>
        <v>141</v>
      </c>
      <c r="S122" s="201"/>
      <c r="T122" s="192"/>
      <c r="U122" s="183"/>
      <c r="V122" s="168"/>
      <c r="W122" s="50"/>
      <c r="X122" s="50"/>
      <c r="Y122" s="215">
        <f t="shared" si="43"/>
        <v>93</v>
      </c>
      <c r="Z122" s="120"/>
      <c r="AA122" s="96">
        <f t="shared" si="46"/>
        <v>93</v>
      </c>
      <c r="AB122" s="97">
        <f t="shared" si="45"/>
        <v>93</v>
      </c>
      <c r="AC122" s="22"/>
      <c r="AD122" s="50"/>
      <c r="AE122" s="50"/>
      <c r="AF122" s="50"/>
      <c r="AG122" s="50"/>
      <c r="AH122" s="50">
        <f t="shared" si="47"/>
        <v>93</v>
      </c>
      <c r="AI122" s="120"/>
      <c r="AJ122" s="96">
        <f t="shared" si="44"/>
        <v>93</v>
      </c>
      <c r="AK122" s="97">
        <f>IF(C122=2007, AJ122/3,AJ122)+AI122</f>
        <v>93</v>
      </c>
      <c r="AL122" s="22"/>
      <c r="AR122" s="26">
        <f>0</f>
        <v>0</v>
      </c>
      <c r="AS122" s="26">
        <f>93</f>
        <v>93</v>
      </c>
      <c r="AT122" s="95"/>
      <c r="AU122" s="96">
        <f t="shared" si="48"/>
        <v>93</v>
      </c>
      <c r="AV122" s="97">
        <f>IF(C122=2006, AU122/3,AU122)+AT122</f>
        <v>93</v>
      </c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spans="1:67" x14ac:dyDescent="0.25">
      <c r="A123" s="60" t="s">
        <v>376</v>
      </c>
      <c r="B123" s="65" t="s">
        <v>86</v>
      </c>
      <c r="C123" s="62">
        <v>1994</v>
      </c>
      <c r="D123" s="1">
        <f t="shared" si="39"/>
        <v>0</v>
      </c>
      <c r="H123" s="280"/>
      <c r="I123" s="267"/>
      <c r="J123" s="267"/>
      <c r="K123" s="267"/>
      <c r="L123" s="267"/>
      <c r="M123" s="267"/>
      <c r="N123" s="267">
        <f t="shared" si="40"/>
        <v>0</v>
      </c>
      <c r="O123" s="152"/>
      <c r="P123" s="96">
        <f t="shared" si="41"/>
        <v>0</v>
      </c>
      <c r="Q123" s="97">
        <f t="shared" si="42"/>
        <v>0</v>
      </c>
      <c r="R123" s="267"/>
      <c r="S123" s="201"/>
      <c r="T123" s="192"/>
      <c r="U123" s="183"/>
      <c r="V123" s="168"/>
      <c r="W123" s="50"/>
      <c r="X123" s="50"/>
      <c r="Y123" s="215">
        <f t="shared" si="43"/>
        <v>0</v>
      </c>
      <c r="Z123" s="120"/>
      <c r="AA123" s="96">
        <f t="shared" si="46"/>
        <v>0</v>
      </c>
      <c r="AB123" s="97">
        <f t="shared" si="45"/>
        <v>0</v>
      </c>
      <c r="AC123" s="22"/>
      <c r="AD123" s="50"/>
      <c r="AE123" s="50"/>
      <c r="AF123" s="50"/>
      <c r="AG123" s="50"/>
      <c r="AH123" s="50">
        <f t="shared" si="47"/>
        <v>0</v>
      </c>
      <c r="AI123" s="120"/>
      <c r="AJ123" s="96">
        <f t="shared" si="44"/>
        <v>0</v>
      </c>
      <c r="AK123" s="97">
        <f>IF(C123=2007, AJ123/3,AJ123)+AI123</f>
        <v>0</v>
      </c>
      <c r="AL123" s="22"/>
      <c r="AP123" s="26">
        <f>0</f>
        <v>0</v>
      </c>
      <c r="AT123" s="95"/>
      <c r="AU123" s="96">
        <f t="shared" si="48"/>
        <v>0</v>
      </c>
      <c r="AV123" s="97">
        <f>IF(C123=2006, AU123/3,AU123)+AT123</f>
        <v>0</v>
      </c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spans="1:67" s="52" customFormat="1" x14ac:dyDescent="0.25">
      <c r="A124" s="60" t="s">
        <v>502</v>
      </c>
      <c r="B124" s="65" t="s">
        <v>63</v>
      </c>
      <c r="C124" s="62">
        <v>2009</v>
      </c>
      <c r="D124" s="1">
        <f t="shared" si="39"/>
        <v>60.666666666666664</v>
      </c>
      <c r="E124" s="283">
        <f>12</f>
        <v>12</v>
      </c>
      <c r="F124" s="278"/>
      <c r="G124" s="120"/>
      <c r="H124" s="13"/>
      <c r="I124" s="154">
        <f>34</f>
        <v>34</v>
      </c>
      <c r="J124" s="154">
        <f>0</f>
        <v>0</v>
      </c>
      <c r="K124" s="154">
        <f>0</f>
        <v>0</v>
      </c>
      <c r="L124" s="154"/>
      <c r="M124" s="154"/>
      <c r="N124" s="267">
        <f t="shared" si="40"/>
        <v>112</v>
      </c>
      <c r="O124" s="120"/>
      <c r="P124" s="96">
        <f t="shared" si="41"/>
        <v>146</v>
      </c>
      <c r="Q124" s="97">
        <f t="shared" si="42"/>
        <v>48.666666666666664</v>
      </c>
      <c r="R124" s="154"/>
      <c r="S124" s="201">
        <f>0</f>
        <v>0</v>
      </c>
      <c r="T124" s="192">
        <f>12</f>
        <v>12</v>
      </c>
      <c r="U124" s="183">
        <f>0</f>
        <v>0</v>
      </c>
      <c r="V124" s="168">
        <f>6</f>
        <v>6</v>
      </c>
      <c r="W124" s="50">
        <f>0+6</f>
        <v>6</v>
      </c>
      <c r="X124" s="50">
        <f>0+9</f>
        <v>9</v>
      </c>
      <c r="Y124" s="215">
        <f t="shared" si="43"/>
        <v>79</v>
      </c>
      <c r="Z124" s="120"/>
      <c r="AA124" s="96">
        <f t="shared" si="46"/>
        <v>112</v>
      </c>
      <c r="AB124" s="97">
        <f>IF(C124=2012, AA124/3,AA124)+Z124</f>
        <v>112</v>
      </c>
      <c r="AC124" s="22"/>
      <c r="AD124" s="50">
        <f>24</f>
        <v>24</v>
      </c>
      <c r="AE124" s="50"/>
      <c r="AF124" s="50">
        <f>14</f>
        <v>14</v>
      </c>
      <c r="AG124" s="50">
        <f>4</f>
        <v>4</v>
      </c>
      <c r="AH124" s="50">
        <f t="shared" si="47"/>
        <v>34</v>
      </c>
      <c r="AI124" s="120">
        <f>3</f>
        <v>3</v>
      </c>
      <c r="AJ124" s="96">
        <f t="shared" si="44"/>
        <v>76</v>
      </c>
      <c r="AK124" s="97">
        <f>IF(C124=2011, AJ124/3,AJ124)+AI124</f>
        <v>79</v>
      </c>
      <c r="AL124" s="22"/>
      <c r="AM124" s="13"/>
      <c r="AN124" s="13"/>
      <c r="AO124" s="13"/>
      <c r="AP124" s="13"/>
      <c r="AQ124" s="13"/>
      <c r="AR124" s="13">
        <f>3</f>
        <v>3</v>
      </c>
      <c r="AS124" s="13">
        <f>25</f>
        <v>25</v>
      </c>
      <c r="AT124" s="95">
        <f>6</f>
        <v>6</v>
      </c>
      <c r="AU124" s="96">
        <f t="shared" si="48"/>
        <v>28</v>
      </c>
      <c r="AV124" s="97">
        <f>IF(C124=2010, AU124/3,AU124)+AT124</f>
        <v>34</v>
      </c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spans="1:67" s="52" customFormat="1" ht="14.25" customHeight="1" x14ac:dyDescent="0.25">
      <c r="A125" s="60" t="s">
        <v>703</v>
      </c>
      <c r="B125" s="65" t="s">
        <v>7</v>
      </c>
      <c r="C125" s="62">
        <v>1997</v>
      </c>
      <c r="D125" s="1">
        <f t="shared" si="39"/>
        <v>0</v>
      </c>
      <c r="E125" s="108"/>
      <c r="F125" s="108"/>
      <c r="G125" s="120"/>
      <c r="H125" s="101"/>
      <c r="I125" s="261"/>
      <c r="J125" s="246"/>
      <c r="K125" s="241"/>
      <c r="L125" s="228"/>
      <c r="M125" s="215"/>
      <c r="N125" s="267">
        <f t="shared" si="40"/>
        <v>0</v>
      </c>
      <c r="O125" s="152"/>
      <c r="P125" s="96">
        <f t="shared" si="41"/>
        <v>0</v>
      </c>
      <c r="Q125" s="97">
        <f t="shared" si="42"/>
        <v>0</v>
      </c>
      <c r="R125" s="215"/>
      <c r="S125" s="201"/>
      <c r="T125" s="192"/>
      <c r="U125" s="183"/>
      <c r="V125" s="168"/>
      <c r="W125" s="50"/>
      <c r="X125" s="50"/>
      <c r="Y125" s="215">
        <f t="shared" si="43"/>
        <v>0</v>
      </c>
      <c r="Z125" s="120"/>
      <c r="AA125" s="96">
        <f t="shared" si="46"/>
        <v>0</v>
      </c>
      <c r="AB125" s="97">
        <f>IF(C125=2008, AA125/3,AA125)+Z125</f>
        <v>0</v>
      </c>
      <c r="AC125" s="22"/>
      <c r="AD125" s="50"/>
      <c r="AE125" s="50">
        <f>0</f>
        <v>0</v>
      </c>
      <c r="AF125" s="50"/>
      <c r="AG125" s="50"/>
      <c r="AH125" s="50"/>
      <c r="AI125" s="120"/>
      <c r="AJ125" s="96">
        <f t="shared" si="44"/>
        <v>0</v>
      </c>
      <c r="AK125" s="97">
        <f>IF(C125=2007, AJ125/3,AJ125)+AI125</f>
        <v>0</v>
      </c>
      <c r="AL125" s="22"/>
      <c r="AM125" s="26"/>
      <c r="AN125" s="26"/>
      <c r="AO125" s="26"/>
      <c r="AP125" s="26"/>
      <c r="AQ125" s="26"/>
      <c r="AR125" s="26"/>
      <c r="AS125" s="26"/>
      <c r="AT125" s="95"/>
      <c r="AU125" s="96"/>
      <c r="AV125" s="97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</row>
    <row r="126" spans="1:67" s="52" customFormat="1" x14ac:dyDescent="0.25">
      <c r="A126" s="11" t="s">
        <v>595</v>
      </c>
      <c r="B126" s="60" t="s">
        <v>583</v>
      </c>
      <c r="C126" s="62">
        <v>2009</v>
      </c>
      <c r="D126" s="1">
        <f t="shared" si="39"/>
        <v>1</v>
      </c>
      <c r="E126" s="108"/>
      <c r="F126" s="108"/>
      <c r="G126" s="120"/>
      <c r="H126" s="101"/>
      <c r="I126" s="261"/>
      <c r="J126" s="246"/>
      <c r="K126" s="241"/>
      <c r="L126" s="228"/>
      <c r="M126" s="215"/>
      <c r="N126" s="267">
        <f t="shared" si="40"/>
        <v>3</v>
      </c>
      <c r="O126" s="120"/>
      <c r="P126" s="96">
        <f t="shared" si="41"/>
        <v>3</v>
      </c>
      <c r="Q126" s="97">
        <f t="shared" si="42"/>
        <v>1</v>
      </c>
      <c r="R126" s="215"/>
      <c r="S126" s="201"/>
      <c r="T126" s="192"/>
      <c r="U126" s="183"/>
      <c r="V126" s="168"/>
      <c r="W126" s="50"/>
      <c r="X126" s="50"/>
      <c r="Y126" s="215">
        <f t="shared" si="43"/>
        <v>3</v>
      </c>
      <c r="Z126" s="120"/>
      <c r="AA126" s="96">
        <f t="shared" si="46"/>
        <v>3</v>
      </c>
      <c r="AB126" s="97">
        <f>IF(C126=2012, AA126/3,AA126)+Z126</f>
        <v>3</v>
      </c>
      <c r="AC126" s="22"/>
      <c r="AD126" s="50"/>
      <c r="AE126" s="50"/>
      <c r="AF126" s="50"/>
      <c r="AG126" s="50">
        <f>3</f>
        <v>3</v>
      </c>
      <c r="AH126" s="50"/>
      <c r="AI126" s="120"/>
      <c r="AJ126" s="96">
        <f t="shared" si="44"/>
        <v>3</v>
      </c>
      <c r="AK126" s="97">
        <f>IF(C126=2011, AJ126/3,AJ126)+AI126</f>
        <v>3</v>
      </c>
      <c r="AL126" s="22"/>
      <c r="AM126" s="41"/>
      <c r="AN126" s="41"/>
      <c r="AO126" s="41"/>
      <c r="AP126" s="41"/>
      <c r="AQ126" s="41"/>
      <c r="AR126" s="41"/>
      <c r="AS126" s="13"/>
      <c r="AT126" s="95"/>
      <c r="AU126" s="96"/>
      <c r="AV126" s="97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spans="1:67" x14ac:dyDescent="0.25">
      <c r="A127" s="11" t="s">
        <v>694</v>
      </c>
      <c r="B127" s="60" t="s">
        <v>1336</v>
      </c>
      <c r="C127" s="62">
        <v>2008</v>
      </c>
      <c r="D127" s="1">
        <f t="shared" si="39"/>
        <v>149.66666666666666</v>
      </c>
      <c r="E127" s="283">
        <f>24+3</f>
        <v>27</v>
      </c>
      <c r="F127" s="278">
        <f>0</f>
        <v>0</v>
      </c>
      <c r="H127" s="290"/>
      <c r="I127" s="261">
        <f>24</f>
        <v>24</v>
      </c>
      <c r="L127" s="228">
        <f>12+39</f>
        <v>51</v>
      </c>
      <c r="M127" s="215">
        <f>6+6</f>
        <v>12</v>
      </c>
      <c r="N127" s="267">
        <f t="shared" si="40"/>
        <v>35.666666666666664</v>
      </c>
      <c r="O127" s="120"/>
      <c r="P127" s="96">
        <f t="shared" si="41"/>
        <v>122.66666666666666</v>
      </c>
      <c r="Q127" s="97">
        <f t="shared" si="42"/>
        <v>122.66666666666666</v>
      </c>
      <c r="S127" s="201"/>
      <c r="T127" s="192"/>
      <c r="U127" s="183"/>
      <c r="V127" s="168"/>
      <c r="W127" s="50"/>
      <c r="X127" s="50">
        <f>46</f>
        <v>46</v>
      </c>
      <c r="Y127" s="215">
        <f t="shared" si="43"/>
        <v>61</v>
      </c>
      <c r="Z127" s="120"/>
      <c r="AA127" s="96">
        <f t="shared" si="46"/>
        <v>107</v>
      </c>
      <c r="AB127" s="97">
        <f>IF(C127=2008, AA127/3,AA127)+Z127</f>
        <v>35.666666666666664</v>
      </c>
      <c r="AC127" s="22"/>
      <c r="AD127" s="50">
        <f>36</f>
        <v>36</v>
      </c>
      <c r="AE127" s="50">
        <f>25</f>
        <v>25</v>
      </c>
      <c r="AF127" s="50"/>
      <c r="AG127" s="50"/>
      <c r="AH127" s="50"/>
      <c r="AI127" s="120"/>
      <c r="AJ127" s="96">
        <f t="shared" si="44"/>
        <v>61</v>
      </c>
      <c r="AK127" s="97">
        <f>IF(C127=2011, AJ127/3,AJ127)+AI127</f>
        <v>61</v>
      </c>
      <c r="AL127" s="22"/>
      <c r="AM127" s="41"/>
      <c r="AN127" s="41"/>
      <c r="AO127" s="41"/>
      <c r="AP127" s="41"/>
      <c r="AQ127" s="41"/>
      <c r="AR127" s="41"/>
      <c r="AS127" s="13"/>
      <c r="AT127" s="95"/>
      <c r="AU127" s="96"/>
      <c r="AV127" s="97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spans="1:67" x14ac:dyDescent="0.25">
      <c r="A128" s="53" t="s">
        <v>58</v>
      </c>
      <c r="B128" s="86" t="s">
        <v>52</v>
      </c>
      <c r="C128" s="52">
        <v>2007</v>
      </c>
      <c r="D128" s="1">
        <f t="shared" si="39"/>
        <v>0.33333333333333331</v>
      </c>
      <c r="H128" s="280"/>
      <c r="I128" s="154"/>
      <c r="J128" s="154"/>
      <c r="K128" s="154"/>
      <c r="L128" s="154"/>
      <c r="M128" s="154"/>
      <c r="N128" s="267">
        <f t="shared" si="40"/>
        <v>0.33333333333333331</v>
      </c>
      <c r="O128" s="152"/>
      <c r="P128" s="96">
        <f t="shared" si="41"/>
        <v>0.33333333333333331</v>
      </c>
      <c r="Q128" s="97">
        <f t="shared" si="42"/>
        <v>0.33333333333333331</v>
      </c>
      <c r="R128" s="154"/>
      <c r="S128" s="201"/>
      <c r="T128" s="192"/>
      <c r="U128" s="183"/>
      <c r="V128" s="168"/>
      <c r="W128" s="50"/>
      <c r="X128" s="50"/>
      <c r="Y128" s="215">
        <f t="shared" si="43"/>
        <v>0.33333333333333331</v>
      </c>
      <c r="Z128" s="120"/>
      <c r="AA128" s="96">
        <f t="shared" si="46"/>
        <v>0.33333333333333331</v>
      </c>
      <c r="AB128" s="97">
        <f>IF(C128=2008, AA128/3,AA128)+Z128</f>
        <v>0.33333333333333331</v>
      </c>
      <c r="AC128" s="22"/>
      <c r="AD128" s="50"/>
      <c r="AE128" s="50"/>
      <c r="AF128" s="50"/>
      <c r="AG128" s="50"/>
      <c r="AH128" s="50">
        <f>AV128</f>
        <v>1</v>
      </c>
      <c r="AI128" s="120"/>
      <c r="AJ128" s="96">
        <f t="shared" si="44"/>
        <v>1</v>
      </c>
      <c r="AK128" s="97">
        <f>IF(C128=2007, AJ128/3,AJ128)+AI128</f>
        <v>0.33333333333333331</v>
      </c>
      <c r="AL128" s="22"/>
      <c r="AM128" s="41">
        <v>1</v>
      </c>
      <c r="AN128" s="41"/>
      <c r="AO128" s="41"/>
      <c r="AP128" s="41"/>
      <c r="AQ128" s="41"/>
      <c r="AR128" s="41"/>
      <c r="AS128" s="41"/>
      <c r="AT128" s="95"/>
      <c r="AU128" s="96">
        <f>SUM(AM128:AS128)</f>
        <v>1</v>
      </c>
      <c r="AV128" s="97">
        <f>IF(C128=2010, AU128/3,AU128)+AT128</f>
        <v>1</v>
      </c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</row>
    <row r="129" spans="1:67" s="52" customFormat="1" x14ac:dyDescent="0.25">
      <c r="A129" s="11" t="s">
        <v>706</v>
      </c>
      <c r="B129" s="60" t="s">
        <v>529</v>
      </c>
      <c r="C129" s="62">
        <v>2009</v>
      </c>
      <c r="D129" s="1">
        <f t="shared" si="39"/>
        <v>3</v>
      </c>
      <c r="E129" s="283"/>
      <c r="F129" s="278"/>
      <c r="G129" s="120"/>
      <c r="H129" s="280"/>
      <c r="I129" s="267"/>
      <c r="J129" s="267"/>
      <c r="K129" s="267"/>
      <c r="L129" s="267"/>
      <c r="M129" s="267"/>
      <c r="N129" s="267">
        <f t="shared" si="40"/>
        <v>9</v>
      </c>
      <c r="O129" s="120"/>
      <c r="P129" s="96">
        <f t="shared" si="41"/>
        <v>9</v>
      </c>
      <c r="Q129" s="97">
        <f t="shared" si="42"/>
        <v>3</v>
      </c>
      <c r="R129" s="267"/>
      <c r="S129" s="201"/>
      <c r="T129" s="192"/>
      <c r="U129" s="183"/>
      <c r="V129" s="168"/>
      <c r="W129" s="50"/>
      <c r="X129" s="50"/>
      <c r="Y129" s="215">
        <f t="shared" si="43"/>
        <v>9</v>
      </c>
      <c r="Z129" s="120"/>
      <c r="AA129" s="96">
        <f t="shared" si="46"/>
        <v>9</v>
      </c>
      <c r="AB129" s="97">
        <f>IF(C129=2012, AA129/3,AA129)+Z129</f>
        <v>9</v>
      </c>
      <c r="AC129" s="22"/>
      <c r="AD129" s="50"/>
      <c r="AE129" s="50">
        <f>9</f>
        <v>9</v>
      </c>
      <c r="AF129" s="50"/>
      <c r="AG129" s="50"/>
      <c r="AH129" s="50"/>
      <c r="AI129" s="120"/>
      <c r="AJ129" s="96">
        <f t="shared" si="44"/>
        <v>9</v>
      </c>
      <c r="AK129" s="97">
        <f>IF(C129=2011, AJ129/3,AJ129)+AI129</f>
        <v>9</v>
      </c>
      <c r="AL129" s="22"/>
      <c r="AM129" s="41"/>
      <c r="AN129" s="41"/>
      <c r="AO129" s="41"/>
      <c r="AP129" s="41"/>
      <c r="AQ129" s="41"/>
      <c r="AR129" s="41"/>
      <c r="AS129" s="13"/>
      <c r="AT129" s="95"/>
      <c r="AU129" s="96"/>
      <c r="AV129" s="97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spans="1:67" s="17" customFormat="1" x14ac:dyDescent="0.25">
      <c r="A130" s="60" t="s">
        <v>182</v>
      </c>
      <c r="B130" s="65" t="s">
        <v>87</v>
      </c>
      <c r="C130" s="62">
        <v>2008</v>
      </c>
      <c r="D130" s="1">
        <f t="shared" si="39"/>
        <v>37</v>
      </c>
      <c r="E130" s="283"/>
      <c r="F130" s="278"/>
      <c r="G130" s="120"/>
      <c r="H130" s="290"/>
      <c r="I130" s="287"/>
      <c r="J130" s="287"/>
      <c r="K130" s="287"/>
      <c r="L130" s="287">
        <f>33</f>
        <v>33</v>
      </c>
      <c r="M130" s="287"/>
      <c r="N130" s="267">
        <f t="shared" si="40"/>
        <v>4</v>
      </c>
      <c r="O130" s="120"/>
      <c r="P130" s="96">
        <f t="shared" si="41"/>
        <v>37</v>
      </c>
      <c r="Q130" s="97">
        <f t="shared" si="42"/>
        <v>37</v>
      </c>
      <c r="R130" s="287"/>
      <c r="S130" s="228"/>
      <c r="T130" s="228"/>
      <c r="U130" s="228"/>
      <c r="V130" s="228"/>
      <c r="W130" s="228"/>
      <c r="X130" s="228"/>
      <c r="Y130" s="228">
        <f t="shared" si="43"/>
        <v>12</v>
      </c>
      <c r="Z130" s="120"/>
      <c r="AA130" s="96">
        <f t="shared" si="46"/>
        <v>12</v>
      </c>
      <c r="AB130" s="97">
        <f>IF(C130=2008, AA130/3,AA130)+Z130</f>
        <v>4</v>
      </c>
      <c r="AC130" s="22"/>
      <c r="AD130" s="228"/>
      <c r="AE130" s="228"/>
      <c r="AF130" s="228"/>
      <c r="AG130" s="228"/>
      <c r="AH130" s="228">
        <f>AV130</f>
        <v>12</v>
      </c>
      <c r="AI130" s="120"/>
      <c r="AJ130" s="96">
        <f t="shared" si="44"/>
        <v>12</v>
      </c>
      <c r="AK130" s="97">
        <f>IF(C130=2011, AJ130/3,AJ130)+AI130</f>
        <v>12</v>
      </c>
      <c r="AL130" s="22"/>
      <c r="AM130" s="13"/>
      <c r="AN130" s="13">
        <f>12</f>
        <v>12</v>
      </c>
      <c r="AO130" s="13"/>
      <c r="AP130" s="13"/>
      <c r="AQ130" s="13"/>
      <c r="AR130" s="13"/>
      <c r="AS130" s="13"/>
      <c r="AT130" s="95"/>
      <c r="AU130" s="96">
        <f>SUM(AM130:AS130)</f>
        <v>12</v>
      </c>
      <c r="AV130" s="97">
        <f>IF(C130=2010, AU130/3,AU130)+AT130</f>
        <v>12</v>
      </c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</row>
    <row r="131" spans="1:67" x14ac:dyDescent="0.25">
      <c r="A131" s="11" t="s">
        <v>1179</v>
      </c>
      <c r="B131" s="87" t="s">
        <v>87</v>
      </c>
      <c r="C131" s="3">
        <v>2009</v>
      </c>
      <c r="D131" s="1">
        <f t="shared" si="39"/>
        <v>0</v>
      </c>
      <c r="I131" s="287"/>
      <c r="J131" s="287"/>
      <c r="K131" s="287"/>
      <c r="L131" s="287">
        <v>0</v>
      </c>
      <c r="M131" s="287"/>
      <c r="N131" s="267">
        <f t="shared" si="40"/>
        <v>0</v>
      </c>
      <c r="O131" s="120"/>
      <c r="P131" s="96">
        <f t="shared" si="41"/>
        <v>0</v>
      </c>
      <c r="Q131" s="97">
        <f t="shared" si="42"/>
        <v>0</v>
      </c>
      <c r="R131" s="287"/>
      <c r="S131" s="154"/>
      <c r="T131" s="154"/>
      <c r="U131" s="154"/>
      <c r="V131" s="154"/>
      <c r="W131" s="154"/>
      <c r="X131" s="154"/>
      <c r="Y131" s="154"/>
      <c r="Z131" s="13"/>
      <c r="AC131" s="13"/>
      <c r="AD131" s="13"/>
      <c r="AE131" s="13"/>
      <c r="AF131" s="13"/>
      <c r="AG131" s="13"/>
      <c r="AH131" s="13"/>
      <c r="AI131" s="13"/>
      <c r="AJ131" s="3"/>
      <c r="AK131" s="3"/>
      <c r="AL131" s="13"/>
      <c r="AM131" s="13"/>
      <c r="AN131" s="13"/>
      <c r="AO131" s="13"/>
      <c r="AP131" s="13"/>
      <c r="AQ131" s="13"/>
      <c r="AR131" s="13"/>
      <c r="AS131" s="1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spans="1:67" x14ac:dyDescent="0.25">
      <c r="A132" s="60" t="s">
        <v>190</v>
      </c>
      <c r="B132" s="65" t="s">
        <v>87</v>
      </c>
      <c r="C132" s="62">
        <v>2007</v>
      </c>
      <c r="D132" s="1">
        <f t="shared" si="39"/>
        <v>10</v>
      </c>
      <c r="H132" s="290"/>
      <c r="N132" s="267">
        <f t="shared" si="40"/>
        <v>10</v>
      </c>
      <c r="O132" s="120"/>
      <c r="P132" s="96">
        <f t="shared" si="41"/>
        <v>10</v>
      </c>
      <c r="Q132" s="97">
        <f t="shared" si="42"/>
        <v>10</v>
      </c>
      <c r="S132" s="201"/>
      <c r="T132" s="192"/>
      <c r="U132" s="183"/>
      <c r="V132" s="168"/>
      <c r="W132" s="50"/>
      <c r="X132" s="50"/>
      <c r="Y132" s="215">
        <f t="shared" ref="Y132:Y155" si="49">AK132</f>
        <v>10</v>
      </c>
      <c r="Z132" s="120"/>
      <c r="AA132" s="96">
        <f t="shared" ref="AA132:AA155" si="50">S132+T132+U132+V132+W132+X132+Y132</f>
        <v>10</v>
      </c>
      <c r="AB132" s="97">
        <f>IF(C132=2008, AA132/3,AA132)+Z132</f>
        <v>10</v>
      </c>
      <c r="AC132" s="22"/>
      <c r="AD132" s="50"/>
      <c r="AE132" s="50"/>
      <c r="AF132" s="50"/>
      <c r="AG132" s="50"/>
      <c r="AH132" s="50">
        <f>AV132</f>
        <v>30</v>
      </c>
      <c r="AI132" s="120"/>
      <c r="AJ132" s="96">
        <f t="shared" ref="AJ132:AJ155" si="51">SUM(AD132:AH132)</f>
        <v>30</v>
      </c>
      <c r="AK132" s="97">
        <f>IF(C132=2007, AJ132/3,AJ132)+AI132</f>
        <v>10</v>
      </c>
      <c r="AL132" s="22"/>
      <c r="AM132" s="13"/>
      <c r="AN132" s="13">
        <f>6+24</f>
        <v>30</v>
      </c>
      <c r="AO132" s="13"/>
      <c r="AP132" s="13"/>
      <c r="AQ132" s="13"/>
      <c r="AR132" s="13"/>
      <c r="AS132" s="13"/>
      <c r="AT132" s="95"/>
      <c r="AU132" s="96">
        <f>SUM(AM132:AS132)</f>
        <v>30</v>
      </c>
      <c r="AV132" s="97">
        <f>IF(C132=2010, AU132/3,AU132)+AT132</f>
        <v>30</v>
      </c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</row>
    <row r="133" spans="1:67" s="3" customFormat="1" x14ac:dyDescent="0.25">
      <c r="A133" s="60" t="s">
        <v>439</v>
      </c>
      <c r="B133" s="65" t="s">
        <v>63</v>
      </c>
      <c r="C133" s="62">
        <v>2009</v>
      </c>
      <c r="D133" s="1">
        <f t="shared" si="39"/>
        <v>0</v>
      </c>
      <c r="E133" s="283"/>
      <c r="F133" s="278"/>
      <c r="G133" s="120"/>
      <c r="H133" s="290"/>
      <c r="I133" s="261"/>
      <c r="J133" s="246"/>
      <c r="K133" s="241"/>
      <c r="L133" s="228"/>
      <c r="M133" s="215"/>
      <c r="N133" s="267">
        <f t="shared" si="40"/>
        <v>0</v>
      </c>
      <c r="O133" s="120"/>
      <c r="P133" s="96">
        <f t="shared" si="41"/>
        <v>0</v>
      </c>
      <c r="Q133" s="97">
        <f t="shared" si="42"/>
        <v>0</v>
      </c>
      <c r="R133" s="215"/>
      <c r="S133" s="201"/>
      <c r="T133" s="192"/>
      <c r="U133" s="183"/>
      <c r="V133" s="168"/>
      <c r="W133" s="50"/>
      <c r="X133" s="287"/>
      <c r="Y133" s="215">
        <f t="shared" si="49"/>
        <v>0</v>
      </c>
      <c r="Z133" s="120"/>
      <c r="AA133" s="96">
        <f t="shared" si="50"/>
        <v>0</v>
      </c>
      <c r="AB133" s="97">
        <f>IF(C133=2012, AA133/3,AA133)+Z133</f>
        <v>0</v>
      </c>
      <c r="AC133" s="22"/>
      <c r="AD133" s="50"/>
      <c r="AE133" s="50"/>
      <c r="AF133" s="50"/>
      <c r="AG133" s="50"/>
      <c r="AH133" s="50">
        <f>AV133</f>
        <v>0</v>
      </c>
      <c r="AI133" s="120"/>
      <c r="AJ133" s="96">
        <f t="shared" si="51"/>
        <v>0</v>
      </c>
      <c r="AK133" s="97">
        <f>IF(C133=2011, AJ133/3,AJ133)+AI133</f>
        <v>0</v>
      </c>
      <c r="AL133" s="22"/>
      <c r="AM133" s="13"/>
      <c r="AN133" s="13"/>
      <c r="AO133" s="13"/>
      <c r="AP133" s="13"/>
      <c r="AQ133" s="13">
        <f>0</f>
        <v>0</v>
      </c>
      <c r="AR133" s="13"/>
      <c r="AS133" s="13"/>
      <c r="AT133" s="95"/>
      <c r="AU133" s="96">
        <f>SUM(AM133:AS133)</f>
        <v>0</v>
      </c>
      <c r="AV133" s="97">
        <f>IF(C133=2010, AU133/3,AU133)+AT133</f>
        <v>0</v>
      </c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</row>
    <row r="134" spans="1:67" s="3" customFormat="1" x14ac:dyDescent="0.25">
      <c r="A134" s="11" t="s">
        <v>742</v>
      </c>
      <c r="B134" s="60" t="s">
        <v>63</v>
      </c>
      <c r="C134" s="62">
        <v>2008</v>
      </c>
      <c r="D134" s="1">
        <f t="shared" si="39"/>
        <v>17</v>
      </c>
      <c r="E134" s="283"/>
      <c r="F134" s="278"/>
      <c r="G134" s="120"/>
      <c r="H134" s="13"/>
      <c r="I134" s="267"/>
      <c r="J134" s="267"/>
      <c r="K134" s="267"/>
      <c r="L134" s="267"/>
      <c r="M134" s="267"/>
      <c r="N134" s="267">
        <f t="shared" si="40"/>
        <v>17</v>
      </c>
      <c r="O134" s="120"/>
      <c r="P134" s="96">
        <f t="shared" si="41"/>
        <v>17</v>
      </c>
      <c r="Q134" s="97">
        <f t="shared" si="42"/>
        <v>17</v>
      </c>
      <c r="R134" s="267"/>
      <c r="S134" s="201"/>
      <c r="T134" s="192"/>
      <c r="U134" s="183"/>
      <c r="V134" s="168">
        <f>10+5+1</f>
        <v>16</v>
      </c>
      <c r="W134" s="50">
        <f>6+6</f>
        <v>12</v>
      </c>
      <c r="X134" s="50">
        <f>8+5</f>
        <v>13</v>
      </c>
      <c r="Y134" s="215">
        <f t="shared" si="49"/>
        <v>10</v>
      </c>
      <c r="Z134" s="120"/>
      <c r="AA134" s="96">
        <f t="shared" si="50"/>
        <v>51</v>
      </c>
      <c r="AB134" s="97">
        <f>IF(C134=2008, AA134/3,AA134)+Z134</f>
        <v>17</v>
      </c>
      <c r="AC134" s="22"/>
      <c r="AD134" s="50">
        <f>7+3</f>
        <v>10</v>
      </c>
      <c r="AE134" s="50"/>
      <c r="AF134" s="50"/>
      <c r="AG134" s="50"/>
      <c r="AH134" s="50"/>
      <c r="AI134" s="120"/>
      <c r="AJ134" s="96">
        <f t="shared" si="51"/>
        <v>10</v>
      </c>
      <c r="AK134" s="97">
        <f>IF(C134=2011, AJ134/3,AJ134)+AI134</f>
        <v>10</v>
      </c>
      <c r="AL134" s="22"/>
      <c r="AM134" s="41"/>
      <c r="AN134" s="41"/>
      <c r="AO134" s="41"/>
      <c r="AP134" s="41"/>
      <c r="AQ134" s="41"/>
      <c r="AR134" s="41"/>
      <c r="AS134" s="13"/>
      <c r="AT134" s="95"/>
      <c r="AU134" s="96"/>
      <c r="AV134" s="97"/>
    </row>
    <row r="135" spans="1:67" s="52" customFormat="1" x14ac:dyDescent="0.25">
      <c r="A135" s="126" t="s">
        <v>176</v>
      </c>
      <c r="B135" s="65" t="s">
        <v>86</v>
      </c>
      <c r="C135" s="62">
        <v>2009</v>
      </c>
      <c r="D135" s="1">
        <f t="shared" si="39"/>
        <v>38.333333333333336</v>
      </c>
      <c r="E135" s="283"/>
      <c r="F135" s="278"/>
      <c r="G135" s="120"/>
      <c r="H135" s="13"/>
      <c r="I135" s="267"/>
      <c r="J135" s="267"/>
      <c r="K135" s="267">
        <f>36+18</f>
        <v>54</v>
      </c>
      <c r="L135" s="267">
        <f>14</f>
        <v>14</v>
      </c>
      <c r="M135" s="267"/>
      <c r="N135" s="267">
        <f t="shared" si="40"/>
        <v>47</v>
      </c>
      <c r="O135" s="120"/>
      <c r="P135" s="96">
        <f t="shared" si="41"/>
        <v>115</v>
      </c>
      <c r="Q135" s="97">
        <f t="shared" si="42"/>
        <v>38.333333333333336</v>
      </c>
      <c r="R135" s="267"/>
      <c r="S135" s="201">
        <f>14</f>
        <v>14</v>
      </c>
      <c r="T135" s="192"/>
      <c r="U135" s="183"/>
      <c r="V135" s="168"/>
      <c r="W135" s="50"/>
      <c r="X135" s="50"/>
      <c r="Y135" s="215">
        <f t="shared" si="49"/>
        <v>33</v>
      </c>
      <c r="Z135" s="120"/>
      <c r="AA135" s="96">
        <f t="shared" si="50"/>
        <v>47</v>
      </c>
      <c r="AB135" s="97">
        <f>IF(C135=2012, AA135/3,AA135)+Z135</f>
        <v>47</v>
      </c>
      <c r="AC135" s="22"/>
      <c r="AD135" s="50"/>
      <c r="AE135" s="50"/>
      <c r="AF135" s="50"/>
      <c r="AG135" s="50"/>
      <c r="AH135" s="50">
        <f t="shared" ref="AH135:AH140" si="52">AV135</f>
        <v>33</v>
      </c>
      <c r="AI135" s="120"/>
      <c r="AJ135" s="96">
        <f t="shared" si="51"/>
        <v>33</v>
      </c>
      <c r="AK135" s="97">
        <f>IF(C135=2011, AJ135/3,AJ135)+AI135</f>
        <v>33</v>
      </c>
      <c r="AL135" s="22"/>
      <c r="AM135" s="13"/>
      <c r="AN135" s="13">
        <f>15+9</f>
        <v>24</v>
      </c>
      <c r="AO135" s="13"/>
      <c r="AP135" s="13">
        <f>0+9</f>
        <v>9</v>
      </c>
      <c r="AQ135" s="13"/>
      <c r="AR135" s="13"/>
      <c r="AS135" s="13"/>
      <c r="AT135" s="95"/>
      <c r="AU135" s="96">
        <f t="shared" ref="AU135:AU140" si="53">SUM(AM135:AS135)</f>
        <v>33</v>
      </c>
      <c r="AV135" s="97">
        <f>IF(C135=2010, AU135/3,AU135)+AT135</f>
        <v>33</v>
      </c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spans="1:67" s="3" customFormat="1" x14ac:dyDescent="0.25">
      <c r="A136" s="60" t="s">
        <v>352</v>
      </c>
      <c r="B136" s="65" t="s">
        <v>86</v>
      </c>
      <c r="C136" s="62">
        <v>2007</v>
      </c>
      <c r="D136" s="1">
        <f t="shared" si="39"/>
        <v>0</v>
      </c>
      <c r="E136" s="283"/>
      <c r="F136" s="278"/>
      <c r="G136" s="120"/>
      <c r="H136" s="13"/>
      <c r="I136" s="261"/>
      <c r="J136" s="246"/>
      <c r="K136" s="241"/>
      <c r="L136" s="228"/>
      <c r="M136" s="215"/>
      <c r="N136" s="267">
        <f t="shared" si="40"/>
        <v>0</v>
      </c>
      <c r="O136" s="152"/>
      <c r="P136" s="96">
        <f t="shared" si="41"/>
        <v>0</v>
      </c>
      <c r="Q136" s="97">
        <f t="shared" si="42"/>
        <v>0</v>
      </c>
      <c r="R136" s="215"/>
      <c r="S136" s="201"/>
      <c r="T136" s="192"/>
      <c r="U136" s="183"/>
      <c r="V136" s="168"/>
      <c r="W136" s="50"/>
      <c r="X136" s="50"/>
      <c r="Y136" s="215">
        <f t="shared" si="49"/>
        <v>0</v>
      </c>
      <c r="Z136" s="120"/>
      <c r="AA136" s="96">
        <f t="shared" si="50"/>
        <v>0</v>
      </c>
      <c r="AB136" s="97">
        <f t="shared" ref="AB136:AB141" si="54">IF(C136=2008, AA136/3,AA136)+Z136</f>
        <v>0</v>
      </c>
      <c r="AC136" s="22"/>
      <c r="AD136" s="50"/>
      <c r="AE136" s="50"/>
      <c r="AF136" s="50"/>
      <c r="AG136" s="50"/>
      <c r="AH136" s="50">
        <f t="shared" si="52"/>
        <v>0</v>
      </c>
      <c r="AI136" s="120"/>
      <c r="AJ136" s="96">
        <f t="shared" si="51"/>
        <v>0</v>
      </c>
      <c r="AK136" s="97">
        <f>IF(C136=2007, AJ136/3,AJ136)+AI136</f>
        <v>0</v>
      </c>
      <c r="AL136" s="22"/>
      <c r="AM136" s="13"/>
      <c r="AN136" s="13"/>
      <c r="AO136" s="13"/>
      <c r="AP136" s="13">
        <f>0</f>
        <v>0</v>
      </c>
      <c r="AQ136" s="13"/>
      <c r="AR136" s="13"/>
      <c r="AS136" s="13"/>
      <c r="AT136" s="95"/>
      <c r="AU136" s="96">
        <f t="shared" si="53"/>
        <v>0</v>
      </c>
      <c r="AV136" s="97">
        <f>IF(C136=2010, AU136/3,AU136)+AT136</f>
        <v>0</v>
      </c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</row>
    <row r="137" spans="1:67" x14ac:dyDescent="0.25">
      <c r="A137" s="60" t="s">
        <v>534</v>
      </c>
      <c r="B137" s="65" t="s">
        <v>529</v>
      </c>
      <c r="C137" s="62">
        <v>2008</v>
      </c>
      <c r="D137" s="1">
        <f t="shared" si="39"/>
        <v>5</v>
      </c>
      <c r="E137" s="287"/>
      <c r="F137" s="287"/>
      <c r="H137" s="280"/>
      <c r="I137" s="267"/>
      <c r="J137" s="267"/>
      <c r="K137" s="267"/>
      <c r="L137" s="267"/>
      <c r="M137" s="267"/>
      <c r="N137" s="267">
        <f t="shared" si="40"/>
        <v>5</v>
      </c>
      <c r="O137" s="152"/>
      <c r="P137" s="96">
        <f t="shared" si="41"/>
        <v>5</v>
      </c>
      <c r="Q137" s="97">
        <f t="shared" si="42"/>
        <v>5</v>
      </c>
      <c r="R137" s="267"/>
      <c r="S137" s="201"/>
      <c r="T137" s="192"/>
      <c r="U137" s="183"/>
      <c r="V137" s="168"/>
      <c r="W137" s="50"/>
      <c r="X137" s="50"/>
      <c r="Y137" s="215">
        <f t="shared" si="49"/>
        <v>15</v>
      </c>
      <c r="Z137" s="120"/>
      <c r="AA137" s="96">
        <f t="shared" si="50"/>
        <v>15</v>
      </c>
      <c r="AB137" s="97">
        <f t="shared" si="54"/>
        <v>5</v>
      </c>
      <c r="AC137" s="22"/>
      <c r="AD137" s="50"/>
      <c r="AE137" s="50">
        <f>9</f>
        <v>9</v>
      </c>
      <c r="AF137" s="50"/>
      <c r="AG137" s="50"/>
      <c r="AH137" s="50">
        <f t="shared" si="52"/>
        <v>6</v>
      </c>
      <c r="AI137" s="120"/>
      <c r="AJ137" s="96">
        <f t="shared" si="51"/>
        <v>15</v>
      </c>
      <c r="AK137" s="97">
        <f>IF(C137=2011, AJ137/3,AJ137)+AI137</f>
        <v>15</v>
      </c>
      <c r="AL137" s="22"/>
      <c r="AM137" s="13"/>
      <c r="AN137" s="13"/>
      <c r="AO137" s="13"/>
      <c r="AP137" s="13"/>
      <c r="AQ137" s="13"/>
      <c r="AR137" s="13">
        <f>0</f>
        <v>0</v>
      </c>
      <c r="AS137" s="13">
        <f>6</f>
        <v>6</v>
      </c>
      <c r="AT137" s="95"/>
      <c r="AU137" s="96">
        <f t="shared" si="53"/>
        <v>6</v>
      </c>
      <c r="AV137" s="97">
        <f>IF(C137=2010, AU137/3,AU137)+AT137</f>
        <v>6</v>
      </c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spans="1:67" s="3" customFormat="1" x14ac:dyDescent="0.25">
      <c r="A138" s="60" t="s">
        <v>494</v>
      </c>
      <c r="B138" s="65" t="s">
        <v>231</v>
      </c>
      <c r="C138" s="62">
        <v>2008</v>
      </c>
      <c r="D138" s="1">
        <f t="shared" si="39"/>
        <v>8.6666666666666661</v>
      </c>
      <c r="E138" s="283"/>
      <c r="F138" s="278"/>
      <c r="G138" s="120"/>
      <c r="H138" s="290"/>
      <c r="I138" s="287"/>
      <c r="J138" s="287"/>
      <c r="K138" s="287"/>
      <c r="L138" s="287"/>
      <c r="M138" s="287"/>
      <c r="N138" s="267">
        <f t="shared" si="40"/>
        <v>8.6666666666666661</v>
      </c>
      <c r="O138" s="152"/>
      <c r="P138" s="96">
        <f t="shared" si="41"/>
        <v>8.6666666666666661</v>
      </c>
      <c r="Q138" s="97">
        <f t="shared" si="42"/>
        <v>8.6666666666666661</v>
      </c>
      <c r="R138" s="287"/>
      <c r="S138" s="201"/>
      <c r="T138" s="192"/>
      <c r="U138" s="183"/>
      <c r="V138" s="168"/>
      <c r="W138" s="50"/>
      <c r="X138" s="50"/>
      <c r="Y138" s="215">
        <f t="shared" si="49"/>
        <v>26</v>
      </c>
      <c r="Z138" s="120"/>
      <c r="AA138" s="96">
        <f t="shared" si="50"/>
        <v>26</v>
      </c>
      <c r="AB138" s="97">
        <f t="shared" si="54"/>
        <v>8.6666666666666661</v>
      </c>
      <c r="AC138" s="22"/>
      <c r="AD138" s="50"/>
      <c r="AE138" s="50"/>
      <c r="AF138" s="50">
        <f>14</f>
        <v>14</v>
      </c>
      <c r="AG138" s="50"/>
      <c r="AH138" s="50">
        <f t="shared" si="52"/>
        <v>12</v>
      </c>
      <c r="AI138" s="120"/>
      <c r="AJ138" s="96">
        <f t="shared" si="51"/>
        <v>26</v>
      </c>
      <c r="AK138" s="97">
        <f>IF(C138=2011, AJ138/3,AJ138)+AI138</f>
        <v>26</v>
      </c>
      <c r="AL138" s="22"/>
      <c r="AM138" s="13"/>
      <c r="AN138" s="13"/>
      <c r="AO138" s="13"/>
      <c r="AP138" s="13"/>
      <c r="AQ138" s="13"/>
      <c r="AR138" s="13">
        <f>12</f>
        <v>12</v>
      </c>
      <c r="AS138" s="13"/>
      <c r="AT138" s="95"/>
      <c r="AU138" s="96">
        <f t="shared" si="53"/>
        <v>12</v>
      </c>
      <c r="AV138" s="97">
        <f>IF(C138=2010, AU138/3,AU138)+AT138</f>
        <v>12</v>
      </c>
    </row>
    <row r="139" spans="1:67" x14ac:dyDescent="0.25">
      <c r="A139" s="60" t="s">
        <v>212</v>
      </c>
      <c r="B139" s="65" t="s">
        <v>111</v>
      </c>
      <c r="C139" s="62">
        <v>2004</v>
      </c>
      <c r="D139" s="1">
        <f t="shared" si="39"/>
        <v>7</v>
      </c>
      <c r="E139" s="287"/>
      <c r="F139" s="287"/>
      <c r="I139" s="108"/>
      <c r="J139" s="108"/>
      <c r="K139" s="108"/>
      <c r="L139" s="108"/>
      <c r="M139" s="108"/>
      <c r="N139" s="267">
        <f t="shared" si="40"/>
        <v>7</v>
      </c>
      <c r="O139" s="122"/>
      <c r="P139" s="96">
        <f t="shared" si="41"/>
        <v>7</v>
      </c>
      <c r="Q139" s="97">
        <f t="shared" si="42"/>
        <v>7</v>
      </c>
      <c r="R139" s="108"/>
      <c r="S139" s="201"/>
      <c r="T139" s="192"/>
      <c r="U139" s="183"/>
      <c r="V139" s="168"/>
      <c r="W139" s="50"/>
      <c r="X139" s="50"/>
      <c r="Y139" s="215">
        <f t="shared" si="49"/>
        <v>7</v>
      </c>
      <c r="Z139" s="120"/>
      <c r="AA139" s="96">
        <f t="shared" si="50"/>
        <v>7</v>
      </c>
      <c r="AB139" s="97">
        <f t="shared" si="54"/>
        <v>7</v>
      </c>
      <c r="AC139" s="22"/>
      <c r="AD139" s="50"/>
      <c r="AE139" s="50"/>
      <c r="AF139" s="50"/>
      <c r="AG139" s="50"/>
      <c r="AH139" s="50">
        <f t="shared" si="52"/>
        <v>7</v>
      </c>
      <c r="AI139" s="120"/>
      <c r="AJ139" s="96">
        <f t="shared" si="51"/>
        <v>7</v>
      </c>
      <c r="AK139" s="97">
        <f>IF(C139=2007, AJ139/3,AJ139)+AI139</f>
        <v>7</v>
      </c>
      <c r="AL139" s="22"/>
      <c r="AN139" s="26">
        <v>1</v>
      </c>
      <c r="AP139" s="26">
        <f>6</f>
        <v>6</v>
      </c>
      <c r="AT139" s="95"/>
      <c r="AU139" s="96">
        <f t="shared" si="53"/>
        <v>7</v>
      </c>
      <c r="AV139" s="97">
        <f>IF(C139=2006, AU139/3,AU139)+AT139</f>
        <v>7</v>
      </c>
    </row>
    <row r="140" spans="1:67" x14ac:dyDescent="0.25">
      <c r="A140" s="60" t="s">
        <v>364</v>
      </c>
      <c r="B140" s="65" t="s">
        <v>111</v>
      </c>
      <c r="C140" s="62">
        <v>2007</v>
      </c>
      <c r="D140" s="1">
        <f t="shared" si="39"/>
        <v>131.33333333333334</v>
      </c>
      <c r="E140" s="287"/>
      <c r="F140" s="287"/>
      <c r="H140" s="290"/>
      <c r="I140" s="154"/>
      <c r="J140" s="154"/>
      <c r="K140" s="154"/>
      <c r="L140" s="154"/>
      <c r="M140" s="154"/>
      <c r="N140" s="267">
        <f t="shared" si="40"/>
        <v>131.33333333333334</v>
      </c>
      <c r="O140" s="122"/>
      <c r="P140" s="96">
        <f t="shared" si="41"/>
        <v>131.33333333333334</v>
      </c>
      <c r="Q140" s="97">
        <f t="shared" si="42"/>
        <v>131.33333333333334</v>
      </c>
      <c r="R140" s="154"/>
      <c r="S140" s="201"/>
      <c r="T140" s="192"/>
      <c r="U140" s="183">
        <f>0</f>
        <v>0</v>
      </c>
      <c r="V140" s="74"/>
      <c r="W140" s="50"/>
      <c r="X140" s="50"/>
      <c r="Y140" s="215">
        <f t="shared" si="49"/>
        <v>131.33333333333334</v>
      </c>
      <c r="Z140" s="120"/>
      <c r="AA140" s="96">
        <f t="shared" si="50"/>
        <v>131.33333333333334</v>
      </c>
      <c r="AB140" s="97">
        <f t="shared" si="54"/>
        <v>131.33333333333334</v>
      </c>
      <c r="AC140" s="22"/>
      <c r="AD140" s="50"/>
      <c r="AE140" s="50">
        <f>3</f>
        <v>3</v>
      </c>
      <c r="AF140" s="50"/>
      <c r="AG140" s="50"/>
      <c r="AH140" s="50">
        <f t="shared" si="52"/>
        <v>391</v>
      </c>
      <c r="AI140" s="120"/>
      <c r="AJ140" s="96">
        <f t="shared" si="51"/>
        <v>394</v>
      </c>
      <c r="AK140" s="97">
        <f>IF(C140=2007, AJ140/3,AJ140)+AI140</f>
        <v>131.33333333333334</v>
      </c>
      <c r="AL140" s="22"/>
      <c r="AM140" s="13"/>
      <c r="AN140" s="13">
        <v>60</v>
      </c>
      <c r="AO140" s="13"/>
      <c r="AP140" s="13">
        <f>18</f>
        <v>18</v>
      </c>
      <c r="AQ140" s="13"/>
      <c r="AR140" s="13"/>
      <c r="AS140" s="13">
        <v>304</v>
      </c>
      <c r="AT140" s="95">
        <f>6+3</f>
        <v>9</v>
      </c>
      <c r="AU140" s="96">
        <f t="shared" si="53"/>
        <v>382</v>
      </c>
      <c r="AV140" s="97">
        <f>IF(C140=2010, AU140/3,AU140)+AT140</f>
        <v>391</v>
      </c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spans="1:67" s="3" customFormat="1" x14ac:dyDescent="0.25">
      <c r="A141" s="60" t="s">
        <v>745</v>
      </c>
      <c r="B141" s="65" t="s">
        <v>63</v>
      </c>
      <c r="C141" s="62">
        <v>2008</v>
      </c>
      <c r="D141" s="1">
        <f t="shared" si="39"/>
        <v>6</v>
      </c>
      <c r="E141" s="283"/>
      <c r="F141" s="278"/>
      <c r="G141" s="120"/>
      <c r="H141" s="13"/>
      <c r="I141" s="261"/>
      <c r="J141" s="246"/>
      <c r="K141" s="241"/>
      <c r="L141" s="228"/>
      <c r="M141" s="215"/>
      <c r="N141" s="267">
        <f t="shared" si="40"/>
        <v>6</v>
      </c>
      <c r="O141" s="120"/>
      <c r="P141" s="96">
        <f t="shared" si="41"/>
        <v>6</v>
      </c>
      <c r="Q141" s="97">
        <f t="shared" si="42"/>
        <v>6</v>
      </c>
      <c r="R141" s="215"/>
      <c r="S141" s="201"/>
      <c r="T141" s="192"/>
      <c r="U141" s="183"/>
      <c r="V141" s="168">
        <f>10+1</f>
        <v>11</v>
      </c>
      <c r="W141" s="50">
        <f>6</f>
        <v>6</v>
      </c>
      <c r="X141" s="50">
        <f>0</f>
        <v>0</v>
      </c>
      <c r="Y141" s="215">
        <f t="shared" si="49"/>
        <v>1</v>
      </c>
      <c r="Z141" s="120"/>
      <c r="AA141" s="96">
        <f t="shared" si="50"/>
        <v>18</v>
      </c>
      <c r="AB141" s="97">
        <f t="shared" si="54"/>
        <v>6</v>
      </c>
      <c r="AC141" s="22"/>
      <c r="AD141" s="50">
        <f>0+1</f>
        <v>1</v>
      </c>
      <c r="AE141" s="50"/>
      <c r="AF141" s="50"/>
      <c r="AG141" s="50"/>
      <c r="AH141" s="50"/>
      <c r="AI141" s="120"/>
      <c r="AJ141" s="96">
        <f t="shared" si="51"/>
        <v>1</v>
      </c>
      <c r="AK141" s="97">
        <f>IF(C141=2011, AJ141/3,AJ141)+AI141</f>
        <v>1</v>
      </c>
      <c r="AL141" s="22"/>
      <c r="AM141" s="13"/>
      <c r="AN141" s="13"/>
      <c r="AO141" s="13"/>
      <c r="AP141" s="13"/>
      <c r="AQ141" s="13"/>
      <c r="AR141" s="13"/>
      <c r="AS141" s="13"/>
      <c r="AT141" s="95"/>
      <c r="AU141" s="96"/>
      <c r="AV141" s="97"/>
    </row>
    <row r="142" spans="1:67" s="3" customFormat="1" x14ac:dyDescent="0.25">
      <c r="A142" s="60" t="s">
        <v>436</v>
      </c>
      <c r="B142" s="65" t="s">
        <v>111</v>
      </c>
      <c r="C142" s="62">
        <v>2009</v>
      </c>
      <c r="D142" s="1">
        <f t="shared" si="39"/>
        <v>14</v>
      </c>
      <c r="E142" s="287"/>
      <c r="F142" s="287"/>
      <c r="G142" s="120"/>
      <c r="H142" s="13"/>
      <c r="I142" s="261"/>
      <c r="J142" s="246"/>
      <c r="K142" s="241"/>
      <c r="L142" s="228"/>
      <c r="M142" s="215"/>
      <c r="N142" s="267">
        <f t="shared" si="40"/>
        <v>42</v>
      </c>
      <c r="O142" s="120"/>
      <c r="P142" s="96">
        <f t="shared" si="41"/>
        <v>42</v>
      </c>
      <c r="Q142" s="97">
        <f t="shared" si="42"/>
        <v>14</v>
      </c>
      <c r="R142" s="215"/>
      <c r="S142" s="201"/>
      <c r="T142" s="192"/>
      <c r="U142" s="183"/>
      <c r="V142" s="168"/>
      <c r="W142" s="50"/>
      <c r="X142" s="154"/>
      <c r="Y142" s="215">
        <f t="shared" si="49"/>
        <v>42</v>
      </c>
      <c r="Z142" s="120"/>
      <c r="AA142" s="96">
        <f t="shared" si="50"/>
        <v>42</v>
      </c>
      <c r="AB142" s="97">
        <f>IF(C142=2012, AA142/3,AA142)+Z142</f>
        <v>42</v>
      </c>
      <c r="AC142" s="22"/>
      <c r="AD142" s="50"/>
      <c r="AE142" s="50"/>
      <c r="AF142" s="50">
        <f>34</f>
        <v>34</v>
      </c>
      <c r="AG142" s="50"/>
      <c r="AH142" s="50">
        <f t="shared" ref="AH142:AH152" si="55">AV142</f>
        <v>8</v>
      </c>
      <c r="AI142" s="120"/>
      <c r="AJ142" s="96">
        <f t="shared" si="51"/>
        <v>42</v>
      </c>
      <c r="AK142" s="97">
        <f>IF(C142=2011, AJ142/3,AJ142)+AI142</f>
        <v>42</v>
      </c>
      <c r="AL142" s="22"/>
      <c r="AM142" s="13"/>
      <c r="AN142" s="13"/>
      <c r="AO142" s="13"/>
      <c r="AP142" s="13"/>
      <c r="AQ142" s="13">
        <f>5</f>
        <v>5</v>
      </c>
      <c r="AR142" s="13">
        <f>3</f>
        <v>3</v>
      </c>
      <c r="AS142" s="13"/>
      <c r="AT142" s="95"/>
      <c r="AU142" s="96">
        <f t="shared" ref="AU142:AU152" si="56">SUM(AM142:AS142)</f>
        <v>8</v>
      </c>
      <c r="AV142" s="97">
        <f>IF(C142=2010, AU142/3,AU142)+AT142</f>
        <v>8</v>
      </c>
    </row>
    <row r="143" spans="1:67" s="52" customFormat="1" x14ac:dyDescent="0.25">
      <c r="A143" s="60" t="s">
        <v>160</v>
      </c>
      <c r="B143" s="65" t="s">
        <v>87</v>
      </c>
      <c r="C143" s="62">
        <v>2006</v>
      </c>
      <c r="D143" s="1">
        <f t="shared" si="39"/>
        <v>4.666666666666667</v>
      </c>
      <c r="E143" s="283"/>
      <c r="F143" s="278"/>
      <c r="G143" s="120"/>
      <c r="H143" s="13"/>
      <c r="I143" s="261"/>
      <c r="J143" s="246"/>
      <c r="K143" s="241"/>
      <c r="L143" s="228"/>
      <c r="M143" s="215"/>
      <c r="N143" s="267">
        <f t="shared" si="40"/>
        <v>4.666666666666667</v>
      </c>
      <c r="O143" s="152"/>
      <c r="P143" s="96">
        <f t="shared" si="41"/>
        <v>4.666666666666667</v>
      </c>
      <c r="Q143" s="97">
        <f t="shared" si="42"/>
        <v>4.666666666666667</v>
      </c>
      <c r="R143" s="215"/>
      <c r="S143" s="201"/>
      <c r="T143" s="192"/>
      <c r="U143" s="183"/>
      <c r="V143" s="168"/>
      <c r="W143" s="50"/>
      <c r="X143" s="50"/>
      <c r="Y143" s="215">
        <f t="shared" si="49"/>
        <v>4.666666666666667</v>
      </c>
      <c r="Z143" s="120"/>
      <c r="AA143" s="96">
        <f t="shared" si="50"/>
        <v>4.666666666666667</v>
      </c>
      <c r="AB143" s="97">
        <f>IF(C143=2008, AA143/3,AA143)+Z143</f>
        <v>4.666666666666667</v>
      </c>
      <c r="AC143" s="22"/>
      <c r="AD143" s="50"/>
      <c r="AE143" s="50"/>
      <c r="AF143" s="50"/>
      <c r="AG143" s="50"/>
      <c r="AH143" s="50">
        <f t="shared" si="55"/>
        <v>4.666666666666667</v>
      </c>
      <c r="AI143" s="120"/>
      <c r="AJ143" s="96">
        <f t="shared" si="51"/>
        <v>4.666666666666667</v>
      </c>
      <c r="AK143" s="97">
        <f>IF(C143=2007, AJ143/3,AJ143)+AI143</f>
        <v>4.666666666666667</v>
      </c>
      <c r="AL143" s="22"/>
      <c r="AM143" s="13"/>
      <c r="AN143" s="13">
        <f>12+2</f>
        <v>14</v>
      </c>
      <c r="AO143" s="13"/>
      <c r="AP143" s="13"/>
      <c r="AQ143" s="13"/>
      <c r="AR143" s="13"/>
      <c r="AS143" s="13"/>
      <c r="AT143" s="95"/>
      <c r="AU143" s="96">
        <f t="shared" si="56"/>
        <v>14</v>
      </c>
      <c r="AV143" s="97">
        <f>IF(C143=2006, AU143/3,AU143)+AT143</f>
        <v>4.666666666666667</v>
      </c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</row>
    <row r="144" spans="1:67" s="3" customFormat="1" x14ac:dyDescent="0.25">
      <c r="A144" s="60" t="s">
        <v>513</v>
      </c>
      <c r="B144" s="65" t="s">
        <v>86</v>
      </c>
      <c r="C144" s="62">
        <v>2009</v>
      </c>
      <c r="D144" s="1">
        <f t="shared" si="39"/>
        <v>13</v>
      </c>
      <c r="E144" s="283"/>
      <c r="F144" s="278"/>
      <c r="G144" s="120"/>
      <c r="H144" s="280"/>
      <c r="I144" s="261"/>
      <c r="J144" s="246"/>
      <c r="K144" s="241"/>
      <c r="L144" s="228"/>
      <c r="M144" s="215"/>
      <c r="N144" s="267">
        <f t="shared" si="40"/>
        <v>39</v>
      </c>
      <c r="O144" s="120"/>
      <c r="P144" s="96">
        <f t="shared" si="41"/>
        <v>39</v>
      </c>
      <c r="Q144" s="97">
        <f t="shared" si="42"/>
        <v>13</v>
      </c>
      <c r="R144" s="215"/>
      <c r="S144" s="201"/>
      <c r="T144" s="192"/>
      <c r="U144" s="183"/>
      <c r="V144" s="168"/>
      <c r="W144" s="50"/>
      <c r="X144" s="50"/>
      <c r="Y144" s="215">
        <f t="shared" si="49"/>
        <v>39</v>
      </c>
      <c r="Z144" s="120"/>
      <c r="AA144" s="96">
        <f t="shared" si="50"/>
        <v>39</v>
      </c>
      <c r="AB144" s="97">
        <f>IF(C144=2012, AA144/3,AA144)+Z144</f>
        <v>39</v>
      </c>
      <c r="AC144" s="22"/>
      <c r="AD144" s="50"/>
      <c r="AE144" s="50"/>
      <c r="AF144" s="50"/>
      <c r="AG144" s="50"/>
      <c r="AH144" s="50">
        <f t="shared" si="55"/>
        <v>39</v>
      </c>
      <c r="AI144" s="120"/>
      <c r="AJ144" s="96">
        <f t="shared" si="51"/>
        <v>39</v>
      </c>
      <c r="AK144" s="97">
        <f>IF(C144=2011, AJ144/3,AJ144)+AI144</f>
        <v>39</v>
      </c>
      <c r="AL144" s="22"/>
      <c r="AM144" s="13"/>
      <c r="AN144" s="13"/>
      <c r="AO144" s="13"/>
      <c r="AP144" s="13"/>
      <c r="AQ144" s="13"/>
      <c r="AR144" s="13">
        <f>36</f>
        <v>36</v>
      </c>
      <c r="AS144" s="13"/>
      <c r="AT144" s="95">
        <f>3</f>
        <v>3</v>
      </c>
      <c r="AU144" s="96">
        <f t="shared" si="56"/>
        <v>36</v>
      </c>
      <c r="AV144" s="97">
        <f>IF(C144=2010, AU144/3,AU144)+AT144</f>
        <v>39</v>
      </c>
    </row>
    <row r="145" spans="1:67" s="3" customFormat="1" x14ac:dyDescent="0.25">
      <c r="A145" s="11" t="s">
        <v>259</v>
      </c>
      <c r="B145" s="71" t="s">
        <v>111</v>
      </c>
      <c r="C145" s="62">
        <v>2006</v>
      </c>
      <c r="D145" s="1">
        <f t="shared" si="39"/>
        <v>67</v>
      </c>
      <c r="E145" s="283"/>
      <c r="F145" s="278"/>
      <c r="G145" s="120"/>
      <c r="H145" s="280"/>
      <c r="I145" s="261"/>
      <c r="J145" s="246"/>
      <c r="K145" s="241"/>
      <c r="L145" s="228"/>
      <c r="M145" s="215"/>
      <c r="N145" s="267">
        <f t="shared" si="40"/>
        <v>67</v>
      </c>
      <c r="O145" s="152"/>
      <c r="P145" s="96">
        <f t="shared" si="41"/>
        <v>67</v>
      </c>
      <c r="Q145" s="97">
        <f t="shared" si="42"/>
        <v>67</v>
      </c>
      <c r="R145" s="215"/>
      <c r="S145" s="201"/>
      <c r="T145" s="192"/>
      <c r="U145" s="183"/>
      <c r="V145" s="168"/>
      <c r="W145" s="50"/>
      <c r="X145" s="50"/>
      <c r="Y145" s="215">
        <f t="shared" si="49"/>
        <v>67</v>
      </c>
      <c r="Z145" s="120"/>
      <c r="AA145" s="96">
        <f t="shared" si="50"/>
        <v>67</v>
      </c>
      <c r="AB145" s="97">
        <f>IF(C145=2008, AA145/3,AA145)+Z145</f>
        <v>67</v>
      </c>
      <c r="AC145" s="287"/>
      <c r="AD145" s="50"/>
      <c r="AE145" s="50"/>
      <c r="AF145" s="50">
        <f>13</f>
        <v>13</v>
      </c>
      <c r="AG145" s="50"/>
      <c r="AH145" s="50">
        <f t="shared" si="55"/>
        <v>54</v>
      </c>
      <c r="AI145" s="120"/>
      <c r="AJ145" s="96">
        <f t="shared" si="51"/>
        <v>67</v>
      </c>
      <c r="AK145" s="97">
        <f>IF(C145=2007, AJ145/3,AJ145)+AI145</f>
        <v>67</v>
      </c>
      <c r="AL145" s="22"/>
      <c r="AM145" s="41"/>
      <c r="AN145" s="41"/>
      <c r="AO145" s="41">
        <f>6+1</f>
        <v>7</v>
      </c>
      <c r="AP145" s="41">
        <f>43+4</f>
        <v>47</v>
      </c>
      <c r="AQ145" s="41"/>
      <c r="AR145" s="41"/>
      <c r="AS145" s="13"/>
      <c r="AT145" s="95"/>
      <c r="AU145" s="96">
        <f t="shared" si="56"/>
        <v>54</v>
      </c>
      <c r="AV145" s="97">
        <f>IF(C145=2015, AU145/3,AU145)+AT145</f>
        <v>54</v>
      </c>
    </row>
    <row r="146" spans="1:67" x14ac:dyDescent="0.25">
      <c r="A146" s="60" t="s">
        <v>191</v>
      </c>
      <c r="B146" s="85" t="s">
        <v>64</v>
      </c>
      <c r="C146" s="62">
        <v>2006</v>
      </c>
      <c r="D146" s="1">
        <f t="shared" si="39"/>
        <v>89</v>
      </c>
      <c r="E146" s="154"/>
      <c r="F146" s="154"/>
      <c r="H146" s="280"/>
      <c r="I146" s="267"/>
      <c r="J146" s="267"/>
      <c r="K146" s="267">
        <f>3</f>
        <v>3</v>
      </c>
      <c r="L146" s="267"/>
      <c r="M146" s="267"/>
      <c r="N146" s="267">
        <f t="shared" si="40"/>
        <v>86</v>
      </c>
      <c r="O146" s="120"/>
      <c r="P146" s="96">
        <f t="shared" si="41"/>
        <v>89</v>
      </c>
      <c r="Q146" s="97">
        <f t="shared" si="42"/>
        <v>89</v>
      </c>
      <c r="R146" s="267"/>
      <c r="S146" s="201"/>
      <c r="T146" s="192"/>
      <c r="U146" s="183"/>
      <c r="V146" s="168"/>
      <c r="W146" s="50">
        <f>27+3+3</f>
        <v>33</v>
      </c>
      <c r="X146" s="50"/>
      <c r="Y146" s="215">
        <f t="shared" si="49"/>
        <v>53</v>
      </c>
      <c r="Z146" s="120"/>
      <c r="AA146" s="96">
        <f t="shared" si="50"/>
        <v>86</v>
      </c>
      <c r="AB146" s="97">
        <f>IF(C146=2008, AA146/3,AA146)+Z146</f>
        <v>86</v>
      </c>
      <c r="AC146" s="22"/>
      <c r="AD146" s="50"/>
      <c r="AE146" s="50">
        <f>3</f>
        <v>3</v>
      </c>
      <c r="AF146" s="50">
        <f>24</f>
        <v>24</v>
      </c>
      <c r="AG146" s="50">
        <f>18</f>
        <v>18</v>
      </c>
      <c r="AH146" s="50">
        <f t="shared" si="55"/>
        <v>8</v>
      </c>
      <c r="AI146" s="120"/>
      <c r="AJ146" s="96">
        <f t="shared" si="51"/>
        <v>53</v>
      </c>
      <c r="AK146" s="97">
        <f>IF(C146=2007, AJ146/3,AJ146)+AI146</f>
        <v>53</v>
      </c>
      <c r="AL146" s="22"/>
      <c r="AM146" s="13"/>
      <c r="AN146" s="13">
        <v>24</v>
      </c>
      <c r="AO146" s="13"/>
      <c r="AP146" s="13"/>
      <c r="AQ146" s="13"/>
      <c r="AR146" s="13"/>
      <c r="AS146" s="13"/>
      <c r="AT146" s="95"/>
      <c r="AU146" s="96">
        <f t="shared" si="56"/>
        <v>24</v>
      </c>
      <c r="AV146" s="97">
        <f>IF(C146=2006, AU146/3,AU146)+AT146</f>
        <v>8</v>
      </c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spans="1:67" s="3" customFormat="1" x14ac:dyDescent="0.25">
      <c r="A147" s="60" t="s">
        <v>435</v>
      </c>
      <c r="B147" s="85" t="s">
        <v>36</v>
      </c>
      <c r="C147" s="62">
        <v>2007</v>
      </c>
      <c r="D147" s="1">
        <f t="shared" si="39"/>
        <v>2</v>
      </c>
      <c r="E147" s="283"/>
      <c r="F147" s="278"/>
      <c r="G147" s="120"/>
      <c r="H147" s="13"/>
      <c r="I147" s="154"/>
      <c r="J147" s="154"/>
      <c r="K147" s="154"/>
      <c r="L147" s="154"/>
      <c r="M147" s="154"/>
      <c r="N147" s="267">
        <f t="shared" si="40"/>
        <v>2</v>
      </c>
      <c r="O147" s="122"/>
      <c r="P147" s="96">
        <f t="shared" si="41"/>
        <v>2</v>
      </c>
      <c r="Q147" s="97">
        <f t="shared" si="42"/>
        <v>2</v>
      </c>
      <c r="R147" s="154"/>
      <c r="S147" s="201"/>
      <c r="T147" s="192"/>
      <c r="U147" s="183"/>
      <c r="V147" s="168"/>
      <c r="W147" s="50"/>
      <c r="X147" s="50">
        <f>0</f>
        <v>0</v>
      </c>
      <c r="Y147" s="215">
        <f t="shared" si="49"/>
        <v>2</v>
      </c>
      <c r="Z147" s="120"/>
      <c r="AA147" s="96">
        <f t="shared" si="50"/>
        <v>2</v>
      </c>
      <c r="AB147" s="97">
        <f>IF(C147=2008, AA147/3,AA147)+Z147</f>
        <v>2</v>
      </c>
      <c r="AC147" s="22"/>
      <c r="AD147" s="50"/>
      <c r="AE147" s="50"/>
      <c r="AF147" s="50"/>
      <c r="AG147" s="50">
        <f>0</f>
        <v>0</v>
      </c>
      <c r="AH147" s="50">
        <f t="shared" si="55"/>
        <v>6</v>
      </c>
      <c r="AI147" s="120"/>
      <c r="AJ147" s="96">
        <f t="shared" si="51"/>
        <v>6</v>
      </c>
      <c r="AK147" s="97">
        <f>IF(C147=2007, AJ147/3,AJ147)+AI147</f>
        <v>2</v>
      </c>
      <c r="AL147" s="22"/>
      <c r="AM147" s="13"/>
      <c r="AN147" s="13"/>
      <c r="AO147" s="13"/>
      <c r="AP147" s="13"/>
      <c r="AQ147" s="13">
        <f>6</f>
        <v>6</v>
      </c>
      <c r="AR147" s="13"/>
      <c r="AS147" s="13"/>
      <c r="AT147" s="95"/>
      <c r="AU147" s="96">
        <f t="shared" si="56"/>
        <v>6</v>
      </c>
      <c r="AV147" s="97">
        <f t="shared" ref="AV147:AV152" si="57">IF(C147=2010, AU147/3,AU147)+AT147</f>
        <v>6</v>
      </c>
    </row>
    <row r="148" spans="1:67" x14ac:dyDescent="0.25">
      <c r="A148" s="60" t="s">
        <v>505</v>
      </c>
      <c r="B148" s="65" t="s">
        <v>231</v>
      </c>
      <c r="C148" s="62">
        <v>2009</v>
      </c>
      <c r="D148" s="1">
        <f t="shared" si="39"/>
        <v>0</v>
      </c>
      <c r="E148" s="108"/>
      <c r="F148" s="108"/>
      <c r="I148" s="287"/>
      <c r="J148" s="287"/>
      <c r="K148" s="287"/>
      <c r="L148" s="287"/>
      <c r="M148" s="287"/>
      <c r="N148" s="267">
        <f t="shared" si="40"/>
        <v>0</v>
      </c>
      <c r="O148" s="120"/>
      <c r="P148" s="96">
        <f t="shared" si="41"/>
        <v>0</v>
      </c>
      <c r="Q148" s="97">
        <f t="shared" si="42"/>
        <v>0</v>
      </c>
      <c r="R148" s="287"/>
      <c r="S148" s="201"/>
      <c r="T148" s="192"/>
      <c r="U148" s="183"/>
      <c r="V148" s="267"/>
      <c r="W148" s="50"/>
      <c r="X148" s="50"/>
      <c r="Y148" s="215">
        <f t="shared" si="49"/>
        <v>0</v>
      </c>
      <c r="Z148" s="120"/>
      <c r="AA148" s="96">
        <f t="shared" si="50"/>
        <v>0</v>
      </c>
      <c r="AB148" s="97">
        <f>IF(C148=2012, AA148/3,AA148)+Z148</f>
        <v>0</v>
      </c>
      <c r="AC148" s="22"/>
      <c r="AD148" s="50"/>
      <c r="AE148" s="50"/>
      <c r="AF148" s="50"/>
      <c r="AG148" s="50"/>
      <c r="AH148" s="50">
        <f t="shared" si="55"/>
        <v>0</v>
      </c>
      <c r="AI148" s="120"/>
      <c r="AJ148" s="96">
        <f t="shared" si="51"/>
        <v>0</v>
      </c>
      <c r="AK148" s="97">
        <f>IF(C148=2011, AJ148/3,AJ148)+AI148</f>
        <v>0</v>
      </c>
      <c r="AL148" s="22"/>
      <c r="AM148" s="13"/>
      <c r="AN148" s="13"/>
      <c r="AO148" s="13"/>
      <c r="AP148" s="13"/>
      <c r="AQ148" s="13"/>
      <c r="AR148" s="13">
        <f>0</f>
        <v>0</v>
      </c>
      <c r="AS148" s="13"/>
      <c r="AT148" s="95"/>
      <c r="AU148" s="96">
        <f t="shared" si="56"/>
        <v>0</v>
      </c>
      <c r="AV148" s="97">
        <f t="shared" si="57"/>
        <v>0</v>
      </c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spans="1:67" s="3" customFormat="1" x14ac:dyDescent="0.25">
      <c r="A149" s="60" t="s">
        <v>492</v>
      </c>
      <c r="B149" s="85" t="s">
        <v>231</v>
      </c>
      <c r="C149" s="62">
        <v>2007</v>
      </c>
      <c r="D149" s="1">
        <f t="shared" si="39"/>
        <v>6</v>
      </c>
      <c r="E149" s="108"/>
      <c r="F149" s="108"/>
      <c r="G149" s="120"/>
      <c r="H149" s="13"/>
      <c r="I149" s="154"/>
      <c r="J149" s="154"/>
      <c r="K149" s="154"/>
      <c r="L149" s="154"/>
      <c r="M149" s="154"/>
      <c r="N149" s="267">
        <f t="shared" si="40"/>
        <v>6</v>
      </c>
      <c r="O149" s="122"/>
      <c r="P149" s="96">
        <f t="shared" si="41"/>
        <v>6</v>
      </c>
      <c r="Q149" s="97">
        <f t="shared" si="42"/>
        <v>6</v>
      </c>
      <c r="R149" s="154"/>
      <c r="S149" s="201"/>
      <c r="T149" s="192"/>
      <c r="U149" s="168"/>
      <c r="V149" s="148"/>
      <c r="W149" s="50"/>
      <c r="X149" s="50"/>
      <c r="Y149" s="215">
        <f t="shared" si="49"/>
        <v>6</v>
      </c>
      <c r="Z149" s="120"/>
      <c r="AA149" s="96">
        <f t="shared" si="50"/>
        <v>6</v>
      </c>
      <c r="AB149" s="97">
        <f>IF(C149=2008, AA149/3,AA149)+Z149</f>
        <v>6</v>
      </c>
      <c r="AC149" s="22"/>
      <c r="AD149" s="50"/>
      <c r="AE149" s="50"/>
      <c r="AF149" s="50"/>
      <c r="AG149" s="50"/>
      <c r="AH149" s="50">
        <f t="shared" si="55"/>
        <v>18</v>
      </c>
      <c r="AI149" s="120"/>
      <c r="AJ149" s="96">
        <f t="shared" si="51"/>
        <v>18</v>
      </c>
      <c r="AK149" s="97">
        <f>IF(C149=2007, AJ149/3,AJ149)+AI149</f>
        <v>6</v>
      </c>
      <c r="AL149" s="22"/>
      <c r="AM149" s="13"/>
      <c r="AN149" s="13"/>
      <c r="AO149" s="13"/>
      <c r="AP149" s="13"/>
      <c r="AQ149" s="13"/>
      <c r="AR149" s="13">
        <f>18</f>
        <v>18</v>
      </c>
      <c r="AS149" s="13"/>
      <c r="AT149" s="95"/>
      <c r="AU149" s="96">
        <f t="shared" si="56"/>
        <v>18</v>
      </c>
      <c r="AV149" s="97">
        <f t="shared" si="57"/>
        <v>18</v>
      </c>
    </row>
    <row r="150" spans="1:67" s="3" customFormat="1" x14ac:dyDescent="0.25">
      <c r="A150" s="60" t="s">
        <v>168</v>
      </c>
      <c r="B150" s="65" t="s">
        <v>111</v>
      </c>
      <c r="C150" s="62">
        <v>2007</v>
      </c>
      <c r="D150" s="1">
        <f t="shared" ref="D150:D213" si="58">Q150+F150+E150</f>
        <v>6</v>
      </c>
      <c r="E150" s="283"/>
      <c r="F150" s="278"/>
      <c r="G150" s="120"/>
      <c r="H150" s="290"/>
      <c r="I150" s="267"/>
      <c r="J150" s="267"/>
      <c r="K150" s="267"/>
      <c r="L150" s="267"/>
      <c r="M150" s="267"/>
      <c r="N150" s="267">
        <f t="shared" ref="N150:N213" si="59">AB150</f>
        <v>6</v>
      </c>
      <c r="O150" s="152"/>
      <c r="P150" s="96">
        <f t="shared" ref="P150:P213" si="60">I150+J150+K150+L150+M150+N150</f>
        <v>6</v>
      </c>
      <c r="Q150" s="97">
        <f t="shared" ref="Q150:Q213" si="61">IF(C150=2009, P150/3,P150)+O150</f>
        <v>6</v>
      </c>
      <c r="R150" s="267"/>
      <c r="S150" s="201"/>
      <c r="T150" s="192"/>
      <c r="U150" s="183"/>
      <c r="V150" s="215"/>
      <c r="W150" s="50"/>
      <c r="X150" s="50"/>
      <c r="Y150" s="215">
        <f t="shared" si="49"/>
        <v>6</v>
      </c>
      <c r="Z150" s="120"/>
      <c r="AA150" s="96">
        <f t="shared" si="50"/>
        <v>6</v>
      </c>
      <c r="AB150" s="97">
        <f>IF(C150=2008, AA150/3,AA150)+Z150</f>
        <v>6</v>
      </c>
      <c r="AC150" s="22"/>
      <c r="AD150" s="50"/>
      <c r="AE150" s="50"/>
      <c r="AF150" s="50"/>
      <c r="AG150" s="50"/>
      <c r="AH150" s="50">
        <f t="shared" si="55"/>
        <v>18</v>
      </c>
      <c r="AI150" s="120"/>
      <c r="AJ150" s="96">
        <f t="shared" si="51"/>
        <v>18</v>
      </c>
      <c r="AK150" s="97">
        <f>IF(C150=2007, AJ150/3,AJ150)+AI150</f>
        <v>6</v>
      </c>
      <c r="AL150" s="22"/>
      <c r="AM150" s="13"/>
      <c r="AN150" s="13">
        <v>4</v>
      </c>
      <c r="AO150" s="13"/>
      <c r="AP150" s="13">
        <f>14</f>
        <v>14</v>
      </c>
      <c r="AQ150" s="13"/>
      <c r="AR150" s="13"/>
      <c r="AS150" s="13"/>
      <c r="AT150" s="95"/>
      <c r="AU150" s="96">
        <f t="shared" si="56"/>
        <v>18</v>
      </c>
      <c r="AV150" s="97">
        <f t="shared" si="57"/>
        <v>18</v>
      </c>
    </row>
    <row r="151" spans="1:67" s="3" customFormat="1" x14ac:dyDescent="0.25">
      <c r="A151" s="60" t="s">
        <v>158</v>
      </c>
      <c r="B151" s="65" t="s">
        <v>111</v>
      </c>
      <c r="C151" s="62">
        <v>2007</v>
      </c>
      <c r="D151" s="1">
        <f t="shared" si="58"/>
        <v>15.333333333333334</v>
      </c>
      <c r="E151" s="154"/>
      <c r="F151" s="154"/>
      <c r="G151" s="120"/>
      <c r="H151" s="280"/>
      <c r="I151" s="267"/>
      <c r="J151" s="267"/>
      <c r="K151" s="267"/>
      <c r="L151" s="267"/>
      <c r="M151" s="267"/>
      <c r="N151" s="267">
        <f t="shared" si="59"/>
        <v>15.333333333333334</v>
      </c>
      <c r="O151" s="120"/>
      <c r="P151" s="96">
        <f t="shared" si="60"/>
        <v>15.333333333333334</v>
      </c>
      <c r="Q151" s="97">
        <f t="shared" si="61"/>
        <v>15.333333333333334</v>
      </c>
      <c r="R151" s="267"/>
      <c r="S151" s="201"/>
      <c r="T151" s="192"/>
      <c r="U151" s="183"/>
      <c r="V151" s="168"/>
      <c r="W151" s="50"/>
      <c r="X151" s="50"/>
      <c r="Y151" s="215">
        <f t="shared" si="49"/>
        <v>15.333333333333334</v>
      </c>
      <c r="Z151" s="120"/>
      <c r="AA151" s="96">
        <f t="shared" si="50"/>
        <v>15.333333333333334</v>
      </c>
      <c r="AB151" s="97">
        <f>IF(C151=2008, AA151/3,AA151)+Z151</f>
        <v>15.333333333333334</v>
      </c>
      <c r="AC151" s="22"/>
      <c r="AD151" s="50"/>
      <c r="AE151" s="50"/>
      <c r="AF151" s="50"/>
      <c r="AG151" s="50"/>
      <c r="AH151" s="50">
        <f t="shared" si="55"/>
        <v>46</v>
      </c>
      <c r="AI151" s="120"/>
      <c r="AJ151" s="96">
        <f t="shared" si="51"/>
        <v>46</v>
      </c>
      <c r="AK151" s="97">
        <f>IF(C151=2007, AJ151/3,AJ151)+AI151</f>
        <v>15.333333333333334</v>
      </c>
      <c r="AL151" s="22"/>
      <c r="AM151" s="13"/>
      <c r="AN151" s="13">
        <v>21</v>
      </c>
      <c r="AO151" s="13"/>
      <c r="AP151" s="13">
        <f>23</f>
        <v>23</v>
      </c>
      <c r="AQ151" s="13"/>
      <c r="AR151" s="13"/>
      <c r="AS151" s="13"/>
      <c r="AT151" s="95">
        <f>2</f>
        <v>2</v>
      </c>
      <c r="AU151" s="96">
        <f t="shared" si="56"/>
        <v>44</v>
      </c>
      <c r="AV151" s="97">
        <f t="shared" si="57"/>
        <v>46</v>
      </c>
    </row>
    <row r="152" spans="1:67" s="3" customFormat="1" x14ac:dyDescent="0.25">
      <c r="A152" s="51" t="s">
        <v>24</v>
      </c>
      <c r="B152" s="84" t="s">
        <v>23</v>
      </c>
      <c r="C152" s="52">
        <v>2009</v>
      </c>
      <c r="D152" s="1">
        <f t="shared" si="58"/>
        <v>39.777777777777779</v>
      </c>
      <c r="E152" s="283"/>
      <c r="F152" s="278"/>
      <c r="G152" s="120"/>
      <c r="H152" s="280"/>
      <c r="I152" s="261"/>
      <c r="J152" s="246"/>
      <c r="K152" s="241"/>
      <c r="L152" s="228"/>
      <c r="M152" s="215"/>
      <c r="N152" s="267">
        <f t="shared" si="59"/>
        <v>119.33333333333334</v>
      </c>
      <c r="O152" s="120"/>
      <c r="P152" s="96">
        <f t="shared" si="60"/>
        <v>119.33333333333334</v>
      </c>
      <c r="Q152" s="97">
        <f t="shared" si="61"/>
        <v>39.777777777777779</v>
      </c>
      <c r="R152" s="215"/>
      <c r="S152" s="201"/>
      <c r="T152" s="192">
        <f>15</f>
        <v>15</v>
      </c>
      <c r="U152" s="183"/>
      <c r="V152" s="168"/>
      <c r="W152" s="50"/>
      <c r="X152" s="50"/>
      <c r="Y152" s="215">
        <f t="shared" si="49"/>
        <v>104.33333333333334</v>
      </c>
      <c r="Z152" s="120"/>
      <c r="AA152" s="96">
        <f t="shared" si="50"/>
        <v>119.33333333333334</v>
      </c>
      <c r="AB152" s="97">
        <f>IF(C152=2012, AA152/3,AA152)+Z152</f>
        <v>119.33333333333334</v>
      </c>
      <c r="AC152" s="22"/>
      <c r="AD152" s="50"/>
      <c r="AE152" s="50"/>
      <c r="AF152" s="50">
        <f>36</f>
        <v>36</v>
      </c>
      <c r="AG152" s="50"/>
      <c r="AH152" s="50">
        <f t="shared" si="55"/>
        <v>68.333333333333343</v>
      </c>
      <c r="AI152" s="120"/>
      <c r="AJ152" s="96">
        <f t="shared" si="51"/>
        <v>104.33333333333334</v>
      </c>
      <c r="AK152" s="97">
        <f>IF(C152=2011, AJ152/3,AJ152)+AI152</f>
        <v>104.33333333333334</v>
      </c>
      <c r="AL152" s="22"/>
      <c r="AM152" s="267">
        <f>12+3</f>
        <v>15</v>
      </c>
      <c r="AN152" s="267"/>
      <c r="AO152" s="267"/>
      <c r="AP152" s="267"/>
      <c r="AQ152" s="267"/>
      <c r="AR152" s="267"/>
      <c r="AS152" s="287">
        <v>53.333333333333336</v>
      </c>
      <c r="AT152" s="95"/>
      <c r="AU152" s="96">
        <f t="shared" si="56"/>
        <v>68.333333333333343</v>
      </c>
      <c r="AV152" s="97">
        <f t="shared" si="57"/>
        <v>68.333333333333343</v>
      </c>
    </row>
    <row r="153" spans="1:67" s="3" customFormat="1" x14ac:dyDescent="0.25">
      <c r="A153" s="60" t="s">
        <v>741</v>
      </c>
      <c r="B153" s="65" t="s">
        <v>63</v>
      </c>
      <c r="C153" s="62">
        <v>2008</v>
      </c>
      <c r="D153" s="1">
        <f t="shared" si="58"/>
        <v>5.333333333333333</v>
      </c>
      <c r="E153" s="287"/>
      <c r="F153" s="287"/>
      <c r="G153" s="120"/>
      <c r="H153" s="290"/>
      <c r="I153" s="287"/>
      <c r="J153" s="287"/>
      <c r="K153" s="287"/>
      <c r="L153" s="287"/>
      <c r="M153" s="287"/>
      <c r="N153" s="267">
        <f t="shared" si="59"/>
        <v>5.333333333333333</v>
      </c>
      <c r="O153" s="120"/>
      <c r="P153" s="96">
        <f t="shared" si="60"/>
        <v>5.333333333333333</v>
      </c>
      <c r="Q153" s="97">
        <f t="shared" si="61"/>
        <v>5.333333333333333</v>
      </c>
      <c r="R153" s="287"/>
      <c r="S153" s="201"/>
      <c r="T153" s="192"/>
      <c r="U153" s="183"/>
      <c r="V153" s="168"/>
      <c r="W153" s="50"/>
      <c r="X153" s="50">
        <f>0+9</f>
        <v>9</v>
      </c>
      <c r="Y153" s="215">
        <f t="shared" si="49"/>
        <v>7</v>
      </c>
      <c r="Z153" s="120"/>
      <c r="AA153" s="96">
        <f t="shared" si="50"/>
        <v>16</v>
      </c>
      <c r="AB153" s="97">
        <f>IF(C153=2008, AA153/3,AA153)+Z153</f>
        <v>5.333333333333333</v>
      </c>
      <c r="AC153" s="22"/>
      <c r="AD153" s="50">
        <f>7</f>
        <v>7</v>
      </c>
      <c r="AE153" s="50"/>
      <c r="AF153" s="50"/>
      <c r="AG153" s="50"/>
      <c r="AH153" s="50"/>
      <c r="AI153" s="120"/>
      <c r="AJ153" s="96">
        <f t="shared" si="51"/>
        <v>7</v>
      </c>
      <c r="AK153" s="97">
        <f>IF(C153=2011, AJ153/3,AJ153)+AI153</f>
        <v>7</v>
      </c>
      <c r="AL153" s="22"/>
      <c r="AM153" s="13"/>
      <c r="AN153" s="13"/>
      <c r="AO153" s="13"/>
      <c r="AP153" s="13"/>
      <c r="AQ153" s="13"/>
      <c r="AR153" s="13"/>
      <c r="AS153" s="13"/>
      <c r="AT153" s="95"/>
      <c r="AU153" s="96"/>
      <c r="AV153" s="97"/>
    </row>
    <row r="154" spans="1:67" s="3" customFormat="1" x14ac:dyDescent="0.25">
      <c r="A154" s="60" t="s">
        <v>699</v>
      </c>
      <c r="B154" s="65" t="s">
        <v>547</v>
      </c>
      <c r="C154" s="62">
        <v>2008</v>
      </c>
      <c r="D154" s="1">
        <f t="shared" si="58"/>
        <v>10.333333333333334</v>
      </c>
      <c r="E154" s="283"/>
      <c r="F154" s="278"/>
      <c r="G154" s="120"/>
      <c r="H154" s="280"/>
      <c r="I154" s="267"/>
      <c r="J154" s="267"/>
      <c r="K154" s="267"/>
      <c r="L154" s="267">
        <f>0</f>
        <v>0</v>
      </c>
      <c r="M154" s="267"/>
      <c r="N154" s="267">
        <f t="shared" si="59"/>
        <v>10.333333333333334</v>
      </c>
      <c r="O154" s="152"/>
      <c r="P154" s="96">
        <f t="shared" si="60"/>
        <v>10.333333333333334</v>
      </c>
      <c r="Q154" s="97">
        <f t="shared" si="61"/>
        <v>10.333333333333334</v>
      </c>
      <c r="R154" s="267"/>
      <c r="S154" s="201"/>
      <c r="T154" s="192"/>
      <c r="U154" s="183"/>
      <c r="V154" s="168"/>
      <c r="W154" s="50">
        <f>11</f>
        <v>11</v>
      </c>
      <c r="X154" s="50">
        <f>14</f>
        <v>14</v>
      </c>
      <c r="Y154" s="215">
        <f t="shared" si="49"/>
        <v>6</v>
      </c>
      <c r="Z154" s="120"/>
      <c r="AA154" s="96">
        <f t="shared" si="50"/>
        <v>31</v>
      </c>
      <c r="AB154" s="97">
        <f>IF(C154=2008, AA154/3,AA154)+Z154</f>
        <v>10.333333333333334</v>
      </c>
      <c r="AC154" s="22"/>
      <c r="AD154" s="50"/>
      <c r="AE154" s="50">
        <f>6</f>
        <v>6</v>
      </c>
      <c r="AF154" s="50"/>
      <c r="AG154" s="50"/>
      <c r="AH154" s="50"/>
      <c r="AI154" s="120"/>
      <c r="AJ154" s="96">
        <f t="shared" si="51"/>
        <v>6</v>
      </c>
      <c r="AK154" s="97">
        <f>IF(C154=2011, AJ154/3,AJ154)+AI154</f>
        <v>6</v>
      </c>
      <c r="AL154" s="22"/>
      <c r="AM154" s="13"/>
      <c r="AN154" s="13"/>
      <c r="AO154" s="13"/>
      <c r="AP154" s="13"/>
      <c r="AQ154" s="13"/>
      <c r="AR154" s="13"/>
      <c r="AS154" s="13"/>
      <c r="AT154" s="95"/>
      <c r="AU154" s="96"/>
      <c r="AV154" s="97"/>
    </row>
    <row r="155" spans="1:67" s="3" customFormat="1" x14ac:dyDescent="0.25">
      <c r="A155" s="60" t="s">
        <v>639</v>
      </c>
      <c r="B155" s="65" t="s">
        <v>0</v>
      </c>
      <c r="C155" s="62">
        <v>2007</v>
      </c>
      <c r="D155" s="1">
        <f t="shared" si="58"/>
        <v>9</v>
      </c>
      <c r="E155" s="154"/>
      <c r="F155" s="154"/>
      <c r="G155" s="120"/>
      <c r="H155" s="290"/>
      <c r="I155" s="261"/>
      <c r="J155" s="246"/>
      <c r="K155" s="241"/>
      <c r="L155" s="228"/>
      <c r="M155" s="215"/>
      <c r="N155" s="267">
        <f t="shared" si="59"/>
        <v>9</v>
      </c>
      <c r="O155" s="120"/>
      <c r="P155" s="96">
        <f t="shared" si="60"/>
        <v>9</v>
      </c>
      <c r="Q155" s="97">
        <f t="shared" si="61"/>
        <v>9</v>
      </c>
      <c r="R155" s="215"/>
      <c r="S155" s="201"/>
      <c r="T155" s="192"/>
      <c r="U155" s="183"/>
      <c r="V155" s="168"/>
      <c r="W155" s="50"/>
      <c r="X155" s="50"/>
      <c r="Y155" s="215">
        <f t="shared" si="49"/>
        <v>9</v>
      </c>
      <c r="Z155" s="120"/>
      <c r="AA155" s="96">
        <f t="shared" si="50"/>
        <v>9</v>
      </c>
      <c r="AB155" s="97">
        <f>IF(C155=2008, AA155/3,AA155)+Z155</f>
        <v>9</v>
      </c>
      <c r="AC155" s="22"/>
      <c r="AD155" s="50"/>
      <c r="AE155" s="50">
        <f>5</f>
        <v>5</v>
      </c>
      <c r="AF155" s="50">
        <f>22</f>
        <v>22</v>
      </c>
      <c r="AG155" s="50"/>
      <c r="AH155" s="50"/>
      <c r="AI155" s="120"/>
      <c r="AJ155" s="96">
        <f t="shared" si="51"/>
        <v>27</v>
      </c>
      <c r="AK155" s="97">
        <f>IF(C155=2007, AJ155/3,AJ155)+AI155</f>
        <v>9</v>
      </c>
      <c r="AL155" s="22"/>
      <c r="AM155" s="13"/>
      <c r="AN155" s="13"/>
      <c r="AO155" s="13"/>
      <c r="AP155" s="13"/>
      <c r="AQ155" s="13"/>
      <c r="AR155" s="13"/>
      <c r="AS155" s="13"/>
      <c r="AT155" s="95"/>
      <c r="AU155" s="96"/>
      <c r="AV155" s="97"/>
    </row>
    <row r="156" spans="1:67" s="3" customFormat="1" ht="14.25" customHeight="1" x14ac:dyDescent="0.25">
      <c r="A156" s="11" t="s">
        <v>1175</v>
      </c>
      <c r="B156" s="87" t="s">
        <v>87</v>
      </c>
      <c r="C156" s="3">
        <v>2009</v>
      </c>
      <c r="D156" s="1">
        <f t="shared" si="58"/>
        <v>4</v>
      </c>
      <c r="E156" s="287"/>
      <c r="F156" s="287"/>
      <c r="G156" s="120"/>
      <c r="H156" s="13"/>
      <c r="I156" s="261"/>
      <c r="J156" s="246"/>
      <c r="K156" s="241"/>
      <c r="L156" s="228">
        <f>12</f>
        <v>12</v>
      </c>
      <c r="M156" s="215"/>
      <c r="N156" s="267">
        <f t="shared" si="59"/>
        <v>0</v>
      </c>
      <c r="O156" s="120"/>
      <c r="P156" s="96">
        <f t="shared" si="60"/>
        <v>12</v>
      </c>
      <c r="Q156" s="97">
        <f t="shared" si="61"/>
        <v>4</v>
      </c>
      <c r="R156" s="215"/>
      <c r="S156" s="154"/>
      <c r="T156" s="154"/>
      <c r="U156" s="154"/>
      <c r="V156" s="154"/>
      <c r="W156" s="154"/>
      <c r="X156" s="154"/>
      <c r="Y156" s="154"/>
      <c r="Z156" s="13"/>
      <c r="AC156" s="13"/>
      <c r="AD156" s="13"/>
      <c r="AE156" s="13"/>
      <c r="AF156" s="13"/>
      <c r="AG156" s="13"/>
      <c r="AH156" s="13"/>
      <c r="AI156" s="13"/>
      <c r="AL156" s="13"/>
      <c r="AM156" s="13"/>
      <c r="AN156" s="13"/>
      <c r="AO156" s="13"/>
      <c r="AP156" s="13"/>
      <c r="AQ156" s="13"/>
      <c r="AR156" s="13"/>
      <c r="AS156" s="13"/>
    </row>
    <row r="157" spans="1:67" x14ac:dyDescent="0.25">
      <c r="A157" s="60" t="s">
        <v>738</v>
      </c>
      <c r="B157" s="65" t="s">
        <v>63</v>
      </c>
      <c r="C157" s="62">
        <v>2007</v>
      </c>
      <c r="D157" s="1">
        <f t="shared" si="58"/>
        <v>6.333333333333333</v>
      </c>
      <c r="H157" s="290"/>
      <c r="I157" s="154"/>
      <c r="J157" s="154"/>
      <c r="K157" s="154"/>
      <c r="L157" s="154"/>
      <c r="M157" s="154"/>
      <c r="N157" s="267">
        <f t="shared" si="59"/>
        <v>6.333333333333333</v>
      </c>
      <c r="O157" s="122"/>
      <c r="P157" s="96">
        <f t="shared" si="60"/>
        <v>6.333333333333333</v>
      </c>
      <c r="Q157" s="97">
        <f t="shared" si="61"/>
        <v>6.333333333333333</v>
      </c>
      <c r="R157" s="154"/>
      <c r="S157" s="201"/>
      <c r="T157" s="192"/>
      <c r="U157" s="183"/>
      <c r="V157" s="168"/>
      <c r="W157" s="50"/>
      <c r="X157" s="50"/>
      <c r="Y157" s="215">
        <f>AK157</f>
        <v>6.333333333333333</v>
      </c>
      <c r="Z157" s="120"/>
      <c r="AA157" s="96">
        <f>S157+T157+U157+V157+W157+X157+Y157</f>
        <v>6.333333333333333</v>
      </c>
      <c r="AB157" s="97">
        <f>IF(C157=2008, AA157/3,AA157)+Z157</f>
        <v>6.333333333333333</v>
      </c>
      <c r="AC157" s="22"/>
      <c r="AD157" s="50">
        <f>13+6</f>
        <v>19</v>
      </c>
      <c r="AE157" s="50"/>
      <c r="AF157" s="50"/>
      <c r="AG157" s="50"/>
      <c r="AH157" s="50"/>
      <c r="AI157" s="120"/>
      <c r="AJ157" s="96">
        <f>SUM(AD157:AH157)</f>
        <v>19</v>
      </c>
      <c r="AK157" s="97">
        <f>IF(C157=2007, AJ157/3,AJ157)+AI157</f>
        <v>6.333333333333333</v>
      </c>
      <c r="AL157" s="22"/>
      <c r="AM157" s="13"/>
      <c r="AN157" s="13"/>
      <c r="AO157" s="13"/>
      <c r="AP157" s="13"/>
      <c r="AQ157" s="13"/>
      <c r="AR157" s="13"/>
      <c r="AS157" s="13"/>
      <c r="AT157" s="95"/>
      <c r="AU157" s="96"/>
      <c r="AV157" s="97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spans="1:67" s="3" customFormat="1" x14ac:dyDescent="0.25">
      <c r="A158" s="60" t="s">
        <v>524</v>
      </c>
      <c r="B158" s="65" t="s">
        <v>7</v>
      </c>
      <c r="C158" s="62">
        <v>2007</v>
      </c>
      <c r="D158" s="1">
        <f t="shared" si="58"/>
        <v>0.66666666666666663</v>
      </c>
      <c r="E158" s="287"/>
      <c r="F158" s="287"/>
      <c r="G158" s="120"/>
      <c r="H158" s="13"/>
      <c r="I158" s="108"/>
      <c r="J158" s="108"/>
      <c r="K158" s="108"/>
      <c r="L158" s="108"/>
      <c r="M158" s="108"/>
      <c r="N158" s="267">
        <f t="shared" si="59"/>
        <v>0.66666666666666663</v>
      </c>
      <c r="O158" s="122"/>
      <c r="P158" s="96">
        <f t="shared" si="60"/>
        <v>0.66666666666666663</v>
      </c>
      <c r="Q158" s="97">
        <f t="shared" si="61"/>
        <v>0.66666666666666663</v>
      </c>
      <c r="R158" s="108"/>
      <c r="S158" s="201"/>
      <c r="T158" s="192"/>
      <c r="U158" s="183"/>
      <c r="V158" s="168"/>
      <c r="W158" s="50"/>
      <c r="X158" s="50"/>
      <c r="Y158" s="215">
        <f>AK158</f>
        <v>0.66666666666666663</v>
      </c>
      <c r="Z158" s="120"/>
      <c r="AA158" s="96">
        <f>S158+T158+U158+V158+W158+X158+Y158</f>
        <v>0.66666666666666663</v>
      </c>
      <c r="AB158" s="97">
        <f>IF(C158=2008, AA158/3,AA158)+Z158</f>
        <v>0.66666666666666663</v>
      </c>
      <c r="AC158" s="22"/>
      <c r="AD158" s="50"/>
      <c r="AE158" s="50">
        <f>0</f>
        <v>0</v>
      </c>
      <c r="AF158" s="50"/>
      <c r="AG158" s="50">
        <f>0</f>
        <v>0</v>
      </c>
      <c r="AH158" s="50">
        <f>AV158</f>
        <v>2</v>
      </c>
      <c r="AI158" s="120"/>
      <c r="AJ158" s="96">
        <f>SUM(AD158:AH158)</f>
        <v>2</v>
      </c>
      <c r="AK158" s="97">
        <f>IF(C158=2007, AJ158/3,AJ158)+AI158</f>
        <v>0.66666666666666663</v>
      </c>
      <c r="AL158" s="22"/>
      <c r="AM158" s="13"/>
      <c r="AN158" s="13"/>
      <c r="AO158" s="13"/>
      <c r="AP158" s="13"/>
      <c r="AQ158" s="13"/>
      <c r="AR158" s="13">
        <f>2</f>
        <v>2</v>
      </c>
      <c r="AS158" s="13"/>
      <c r="AT158" s="95"/>
      <c r="AU158" s="96">
        <f>SUM(AM158:AS158)</f>
        <v>2</v>
      </c>
      <c r="AV158" s="97">
        <f>IF(C158=2010, AU158/3,AU158)+AT158</f>
        <v>2</v>
      </c>
    </row>
    <row r="159" spans="1:67" s="3" customFormat="1" x14ac:dyDescent="0.25">
      <c r="A159" s="60" t="s">
        <v>159</v>
      </c>
      <c r="B159" s="85" t="s">
        <v>64</v>
      </c>
      <c r="C159" s="62">
        <v>2008</v>
      </c>
      <c r="D159" s="1">
        <f t="shared" si="58"/>
        <v>73</v>
      </c>
      <c r="E159" s="287"/>
      <c r="F159" s="287"/>
      <c r="G159" s="120"/>
      <c r="H159" s="290"/>
      <c r="I159" s="267"/>
      <c r="J159" s="267"/>
      <c r="K159" s="267"/>
      <c r="L159" s="267"/>
      <c r="M159" s="267"/>
      <c r="N159" s="267">
        <f t="shared" si="59"/>
        <v>73</v>
      </c>
      <c r="O159" s="152"/>
      <c r="P159" s="96">
        <f t="shared" si="60"/>
        <v>73</v>
      </c>
      <c r="Q159" s="97">
        <f t="shared" si="61"/>
        <v>73</v>
      </c>
      <c r="R159" s="267"/>
      <c r="S159" s="201"/>
      <c r="T159" s="192"/>
      <c r="U159" s="183"/>
      <c r="V159" s="287"/>
      <c r="W159" s="50">
        <f>18+3</f>
        <v>21</v>
      </c>
      <c r="X159" s="50">
        <f>0</f>
        <v>0</v>
      </c>
      <c r="Y159" s="215">
        <f>AK159</f>
        <v>180</v>
      </c>
      <c r="Z159" s="120">
        <f>6</f>
        <v>6</v>
      </c>
      <c r="AA159" s="96">
        <f>S159+T159+U159+V159+W159+X159+Y159</f>
        <v>201</v>
      </c>
      <c r="AB159" s="97">
        <f>IF(C159=2008, AA159/3,AA159)+Z159</f>
        <v>73</v>
      </c>
      <c r="AC159" s="22"/>
      <c r="AD159" s="50"/>
      <c r="AE159" s="50">
        <f>12</f>
        <v>12</v>
      </c>
      <c r="AF159" s="50">
        <f>162</f>
        <v>162</v>
      </c>
      <c r="AG159" s="50">
        <f>0+6</f>
        <v>6</v>
      </c>
      <c r="AH159" s="50">
        <f>AV159</f>
        <v>0</v>
      </c>
      <c r="AI159" s="120"/>
      <c r="AJ159" s="96">
        <f>SUM(AD159:AH159)</f>
        <v>180</v>
      </c>
      <c r="AK159" s="97">
        <f>IF(C159=2011, AJ159/3,AJ159)+AI159</f>
        <v>180</v>
      </c>
      <c r="AL159" s="22"/>
      <c r="AM159" s="13"/>
      <c r="AN159" s="13">
        <v>0</v>
      </c>
      <c r="AO159" s="13"/>
      <c r="AP159" s="13"/>
      <c r="AQ159" s="13"/>
      <c r="AR159" s="13"/>
      <c r="AS159" s="13"/>
      <c r="AT159" s="95"/>
      <c r="AU159" s="96">
        <f>SUM(AM159:AS159)</f>
        <v>0</v>
      </c>
      <c r="AV159" s="97">
        <f>IF(C159=2010, AU159/3,AU159)+AT159</f>
        <v>0</v>
      </c>
    </row>
    <row r="160" spans="1:67" s="3" customFormat="1" x14ac:dyDescent="0.25">
      <c r="A160" s="12" t="s">
        <v>1197</v>
      </c>
      <c r="B160" s="65" t="s">
        <v>87</v>
      </c>
      <c r="C160" s="4">
        <v>2008</v>
      </c>
      <c r="D160" s="1">
        <f t="shared" si="58"/>
        <v>24</v>
      </c>
      <c r="E160" s="283"/>
      <c r="F160" s="278"/>
      <c r="G160" s="120"/>
      <c r="H160" s="13"/>
      <c r="I160" s="267"/>
      <c r="J160" s="267"/>
      <c r="K160" s="267"/>
      <c r="L160" s="267">
        <f>24</f>
        <v>24</v>
      </c>
      <c r="M160" s="267"/>
      <c r="N160" s="267">
        <f t="shared" si="59"/>
        <v>0</v>
      </c>
      <c r="O160" s="120"/>
      <c r="P160" s="96">
        <f t="shared" si="60"/>
        <v>24</v>
      </c>
      <c r="Q160" s="97">
        <f t="shared" si="61"/>
        <v>24</v>
      </c>
      <c r="R160" s="267"/>
      <c r="S160" s="159"/>
      <c r="T160" s="159"/>
      <c r="U160" s="159"/>
      <c r="V160" s="159"/>
      <c r="W160" s="159"/>
      <c r="X160" s="159"/>
      <c r="Y160" s="159"/>
      <c r="Z160" s="26"/>
      <c r="AA160" s="96">
        <f>S160+T160+U160+V160+W160+X160+Y160</f>
        <v>0</v>
      </c>
      <c r="AB160" s="97">
        <f>IF(C160=2008, AA160/3,AA160)+Z160</f>
        <v>0</v>
      </c>
      <c r="AC160" s="26"/>
      <c r="AD160" s="26"/>
      <c r="AE160" s="26"/>
      <c r="AF160" s="26"/>
      <c r="AG160" s="26"/>
      <c r="AH160" s="26"/>
      <c r="AI160" s="26"/>
      <c r="AJ160" s="4"/>
      <c r="AK160" s="4"/>
      <c r="AL160" s="26"/>
      <c r="AM160" s="26"/>
      <c r="AN160" s="26"/>
      <c r="AO160" s="26"/>
      <c r="AP160" s="26"/>
      <c r="AQ160" s="26"/>
      <c r="AR160" s="26"/>
      <c r="AS160" s="26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</row>
    <row r="161" spans="1:67" s="3" customFormat="1" x14ac:dyDescent="0.25">
      <c r="A161" s="60" t="s">
        <v>365</v>
      </c>
      <c r="B161" s="85" t="s">
        <v>7</v>
      </c>
      <c r="C161" s="62">
        <v>2006</v>
      </c>
      <c r="D161" s="1">
        <f t="shared" si="58"/>
        <v>0</v>
      </c>
      <c r="E161" s="283"/>
      <c r="F161" s="278"/>
      <c r="G161" s="120"/>
      <c r="H161" s="13"/>
      <c r="I161" s="261"/>
      <c r="J161" s="246"/>
      <c r="K161" s="241"/>
      <c r="L161" s="228"/>
      <c r="M161" s="215"/>
      <c r="N161" s="267">
        <f t="shared" si="59"/>
        <v>0</v>
      </c>
      <c r="O161" s="152"/>
      <c r="P161" s="96">
        <f t="shared" si="60"/>
        <v>0</v>
      </c>
      <c r="Q161" s="97">
        <f t="shared" si="61"/>
        <v>0</v>
      </c>
      <c r="R161" s="215"/>
      <c r="S161" s="201"/>
      <c r="T161" s="192"/>
      <c r="U161" s="183"/>
      <c r="V161" s="168"/>
      <c r="W161" s="50"/>
      <c r="X161" s="50"/>
      <c r="Y161" s="215">
        <f>AK161</f>
        <v>0</v>
      </c>
      <c r="Z161" s="120"/>
      <c r="AA161" s="96">
        <f>S161+T161+U161+V161+W161+X161+Y161</f>
        <v>0</v>
      </c>
      <c r="AB161" s="97">
        <f>IF(C161=2008, AA161/3,AA161)+Z161</f>
        <v>0</v>
      </c>
      <c r="AC161" s="22"/>
      <c r="AD161" s="50"/>
      <c r="AE161" s="50"/>
      <c r="AF161" s="50"/>
      <c r="AG161" s="50"/>
      <c r="AH161" s="50">
        <f>AV161</f>
        <v>0</v>
      </c>
      <c r="AI161" s="120"/>
      <c r="AJ161" s="96">
        <f>SUM(AD161:AH161)</f>
        <v>0</v>
      </c>
      <c r="AK161" s="97">
        <f>IF(C161=2007, AJ161/3,AJ161)+AI161</f>
        <v>0</v>
      </c>
      <c r="AL161" s="22"/>
      <c r="AM161" s="13"/>
      <c r="AN161" s="13"/>
      <c r="AO161" s="13"/>
      <c r="AP161" s="13">
        <f>0</f>
        <v>0</v>
      </c>
      <c r="AQ161" s="13"/>
      <c r="AR161" s="13"/>
      <c r="AS161" s="13"/>
      <c r="AT161" s="95"/>
      <c r="AU161" s="96">
        <f>SUM(AM161:AS161)</f>
        <v>0</v>
      </c>
      <c r="AV161" s="97">
        <f>IF(C161=2006, AU161/3,AU161)+AT161</f>
        <v>0</v>
      </c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</row>
    <row r="162" spans="1:67" x14ac:dyDescent="0.25">
      <c r="A162" s="60" t="s">
        <v>1147</v>
      </c>
      <c r="B162" s="65" t="s">
        <v>697</v>
      </c>
      <c r="C162" s="62">
        <v>2009</v>
      </c>
      <c r="D162" s="1">
        <f t="shared" si="58"/>
        <v>11.333333333333334</v>
      </c>
      <c r="I162" s="267"/>
      <c r="J162" s="267"/>
      <c r="K162" s="267">
        <f>13</f>
        <v>13</v>
      </c>
      <c r="L162" s="267">
        <f>21</f>
        <v>21</v>
      </c>
      <c r="M162" s="267"/>
      <c r="N162" s="267">
        <f t="shared" si="59"/>
        <v>0</v>
      </c>
      <c r="O162" s="120"/>
      <c r="P162" s="96">
        <f t="shared" si="60"/>
        <v>34</v>
      </c>
      <c r="Q162" s="97">
        <f t="shared" si="61"/>
        <v>11.333333333333334</v>
      </c>
      <c r="R162" s="267"/>
      <c r="S162" s="201"/>
      <c r="T162" s="192"/>
      <c r="U162" s="183"/>
      <c r="V162" s="168"/>
      <c r="W162" s="50"/>
      <c r="X162" s="50"/>
      <c r="Y162" s="215"/>
      <c r="Z162" s="120"/>
      <c r="AA162" s="96"/>
      <c r="AB162" s="97"/>
      <c r="AC162" s="22"/>
      <c r="AD162" s="50"/>
      <c r="AE162" s="50"/>
      <c r="AF162" s="50"/>
      <c r="AG162" s="50"/>
      <c r="AH162" s="50"/>
      <c r="AI162" s="120"/>
      <c r="AJ162" s="96"/>
      <c r="AK162" s="97"/>
      <c r="AL162" s="22"/>
      <c r="AM162" s="13"/>
      <c r="AN162" s="13"/>
      <c r="AO162" s="13"/>
      <c r="AP162" s="13"/>
      <c r="AQ162" s="13"/>
      <c r="AR162" s="13"/>
      <c r="AS162" s="13"/>
      <c r="AT162" s="95"/>
      <c r="AU162" s="96"/>
      <c r="AV162" s="97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spans="1:67" s="3" customFormat="1" x14ac:dyDescent="0.25">
      <c r="A163" s="60" t="s">
        <v>171</v>
      </c>
      <c r="B163" s="85" t="s">
        <v>64</v>
      </c>
      <c r="C163" s="62">
        <v>2009</v>
      </c>
      <c r="D163" s="1">
        <f t="shared" si="58"/>
        <v>136</v>
      </c>
      <c r="E163" s="283"/>
      <c r="F163" s="278"/>
      <c r="G163" s="120"/>
      <c r="H163" s="280"/>
      <c r="I163" s="261"/>
      <c r="J163" s="246">
        <f>57</f>
        <v>57</v>
      </c>
      <c r="K163" s="241"/>
      <c r="L163" s="228"/>
      <c r="M163" s="215"/>
      <c r="N163" s="267">
        <f t="shared" si="59"/>
        <v>351</v>
      </c>
      <c r="O163" s="120"/>
      <c r="P163" s="96">
        <f t="shared" si="60"/>
        <v>408</v>
      </c>
      <c r="Q163" s="97">
        <f t="shared" si="61"/>
        <v>136</v>
      </c>
      <c r="R163" s="215"/>
      <c r="S163" s="201"/>
      <c r="T163" s="192"/>
      <c r="U163" s="183"/>
      <c r="V163" s="168"/>
      <c r="W163" s="50"/>
      <c r="X163" s="50">
        <f>30</f>
        <v>30</v>
      </c>
      <c r="Y163" s="215">
        <f>AK163</f>
        <v>312</v>
      </c>
      <c r="Z163" s="120">
        <f>3+6</f>
        <v>9</v>
      </c>
      <c r="AA163" s="96">
        <f>S163+T163+U163+V163+W163+X163+Y163</f>
        <v>342</v>
      </c>
      <c r="AB163" s="97">
        <f>IF(C163=2012, AA163/3,AA163)+Z163</f>
        <v>351</v>
      </c>
      <c r="AC163" s="22"/>
      <c r="AD163" s="50"/>
      <c r="AE163" s="50">
        <f>27</f>
        <v>27</v>
      </c>
      <c r="AF163" s="50">
        <f>207</f>
        <v>207</v>
      </c>
      <c r="AG163" s="50">
        <f>18+6</f>
        <v>24</v>
      </c>
      <c r="AH163" s="50">
        <f>AV163</f>
        <v>54</v>
      </c>
      <c r="AI163" s="120"/>
      <c r="AJ163" s="96">
        <f>SUM(AD163:AH163)</f>
        <v>312</v>
      </c>
      <c r="AK163" s="97">
        <f>IF(C163=2011, AJ163/3,AJ163)+AI163</f>
        <v>312</v>
      </c>
      <c r="AL163" s="22"/>
      <c r="AM163" s="13"/>
      <c r="AN163" s="13">
        <v>54</v>
      </c>
      <c r="AO163" s="13"/>
      <c r="AP163" s="13"/>
      <c r="AQ163" s="13"/>
      <c r="AR163" s="13"/>
      <c r="AS163" s="13"/>
      <c r="AT163" s="95"/>
      <c r="AU163" s="96">
        <f>SUM(AM163:AS163)</f>
        <v>54</v>
      </c>
      <c r="AV163" s="97">
        <f>IF(C163=2010, AU163/3,AU163)+AT163</f>
        <v>54</v>
      </c>
    </row>
    <row r="164" spans="1:67" x14ac:dyDescent="0.25">
      <c r="A164" s="11" t="s">
        <v>1180</v>
      </c>
      <c r="B164" s="87" t="s">
        <v>87</v>
      </c>
      <c r="C164" s="3">
        <v>2009</v>
      </c>
      <c r="D164" s="1">
        <f t="shared" si="58"/>
        <v>0</v>
      </c>
      <c r="L164" s="228">
        <v>0</v>
      </c>
      <c r="N164" s="267">
        <f t="shared" si="59"/>
        <v>0</v>
      </c>
      <c r="O164" s="120"/>
      <c r="P164" s="96">
        <f t="shared" si="60"/>
        <v>0</v>
      </c>
      <c r="Q164" s="97">
        <f t="shared" si="61"/>
        <v>0</v>
      </c>
      <c r="S164" s="154"/>
      <c r="T164" s="154"/>
      <c r="U164" s="154"/>
      <c r="V164" s="154"/>
      <c r="W164" s="154"/>
      <c r="X164" s="154"/>
      <c r="Y164" s="154"/>
      <c r="Z164" s="13"/>
      <c r="AC164" s="13"/>
      <c r="AD164" s="13"/>
      <c r="AE164" s="13"/>
      <c r="AF164" s="13"/>
      <c r="AG164" s="13"/>
      <c r="AH164" s="13"/>
      <c r="AI164" s="13"/>
      <c r="AJ164" s="3"/>
      <c r="AK164" s="3"/>
      <c r="AL164" s="13"/>
      <c r="AM164" s="13"/>
      <c r="AN164" s="13"/>
      <c r="AO164" s="13"/>
      <c r="AP164" s="13"/>
      <c r="AQ164" s="13"/>
      <c r="AR164" s="13"/>
      <c r="AS164" s="1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spans="1:67" s="3" customFormat="1" x14ac:dyDescent="0.25">
      <c r="A165" s="11" t="s">
        <v>453</v>
      </c>
      <c r="B165" s="60" t="s">
        <v>7</v>
      </c>
      <c r="C165" s="62">
        <v>2009</v>
      </c>
      <c r="D165" s="1">
        <f t="shared" si="58"/>
        <v>22.666666666666668</v>
      </c>
      <c r="E165" s="283"/>
      <c r="F165" s="278"/>
      <c r="G165" s="120"/>
      <c r="H165" s="290"/>
      <c r="I165" s="267"/>
      <c r="J165" s="267"/>
      <c r="K165" s="267"/>
      <c r="L165" s="267"/>
      <c r="M165" s="267"/>
      <c r="N165" s="267">
        <f t="shared" si="59"/>
        <v>68</v>
      </c>
      <c r="O165" s="120"/>
      <c r="P165" s="96">
        <f t="shared" si="60"/>
        <v>68</v>
      </c>
      <c r="Q165" s="97">
        <f t="shared" si="61"/>
        <v>22.666666666666668</v>
      </c>
      <c r="R165" s="267"/>
      <c r="S165" s="201"/>
      <c r="T165" s="192"/>
      <c r="U165" s="183"/>
      <c r="V165" s="168"/>
      <c r="W165" s="50"/>
      <c r="X165" s="50"/>
      <c r="Y165" s="215">
        <f>AK165</f>
        <v>68</v>
      </c>
      <c r="Z165" s="120"/>
      <c r="AA165" s="96">
        <f>S165+T165+U165+V165+W165+X165+Y165</f>
        <v>68</v>
      </c>
      <c r="AB165" s="97">
        <f>IF(C165=2012, AA165/3,AA165)+Z165</f>
        <v>68</v>
      </c>
      <c r="AC165" s="287"/>
      <c r="AD165" s="50"/>
      <c r="AE165" s="50"/>
      <c r="AF165" s="50">
        <f>0</f>
        <v>0</v>
      </c>
      <c r="AG165" s="50">
        <f>1</f>
        <v>1</v>
      </c>
      <c r="AH165" s="50">
        <f>AV165</f>
        <v>67</v>
      </c>
      <c r="AI165" s="120"/>
      <c r="AJ165" s="96">
        <f>SUM(AD165:AH165)</f>
        <v>68</v>
      </c>
      <c r="AK165" s="97">
        <f>IF(C165=2011, AJ165/3,AJ165)+AI165</f>
        <v>68</v>
      </c>
      <c r="AL165" s="22"/>
      <c r="AM165" s="287"/>
      <c r="AN165" s="287"/>
      <c r="AO165" s="287"/>
      <c r="AP165" s="287"/>
      <c r="AQ165" s="287">
        <f>15</f>
        <v>15</v>
      </c>
      <c r="AR165" s="287">
        <f>20+30+2</f>
        <v>52</v>
      </c>
      <c r="AS165" s="285"/>
      <c r="AT165" s="95"/>
      <c r="AU165" s="96">
        <f>SUM(AM165:AS165)</f>
        <v>67</v>
      </c>
      <c r="AV165" s="97">
        <f>IF(C165=2015, AU165/3,AU165)+AT165</f>
        <v>67</v>
      </c>
    </row>
    <row r="166" spans="1:67" x14ac:dyDescent="0.25">
      <c r="A166" s="60" t="s">
        <v>503</v>
      </c>
      <c r="B166" s="85" t="s">
        <v>7</v>
      </c>
      <c r="C166" s="62">
        <v>2007</v>
      </c>
      <c r="D166" s="1">
        <f t="shared" si="58"/>
        <v>6</v>
      </c>
      <c r="E166" s="108"/>
      <c r="F166" s="108"/>
      <c r="H166" s="101"/>
      <c r="I166" s="154"/>
      <c r="J166" s="154"/>
      <c r="K166" s="154"/>
      <c r="L166" s="154"/>
      <c r="M166" s="154"/>
      <c r="N166" s="267">
        <f t="shared" si="59"/>
        <v>6</v>
      </c>
      <c r="O166" s="122"/>
      <c r="P166" s="96">
        <f t="shared" si="60"/>
        <v>6</v>
      </c>
      <c r="Q166" s="97">
        <f t="shared" si="61"/>
        <v>6</v>
      </c>
      <c r="R166" s="154"/>
      <c r="S166" s="201"/>
      <c r="T166" s="192"/>
      <c r="U166" s="183"/>
      <c r="V166" s="168"/>
      <c r="W166" s="50"/>
      <c r="X166" s="50"/>
      <c r="Y166" s="215">
        <f>AK166</f>
        <v>6</v>
      </c>
      <c r="Z166" s="120"/>
      <c r="AA166" s="96">
        <f>S166+T166+U166+V166+W166+X166+Y166</f>
        <v>6</v>
      </c>
      <c r="AB166" s="97">
        <f>IF(C166=2008, AA166/3,AA166)+Z166</f>
        <v>6</v>
      </c>
      <c r="AC166" s="22"/>
      <c r="AD166" s="50"/>
      <c r="AE166" s="50">
        <f>5</f>
        <v>5</v>
      </c>
      <c r="AF166" s="50">
        <f>0</f>
        <v>0</v>
      </c>
      <c r="AG166" s="50">
        <f>10</f>
        <v>10</v>
      </c>
      <c r="AH166" s="50">
        <f>AV166</f>
        <v>3</v>
      </c>
      <c r="AI166" s="120"/>
      <c r="AJ166" s="96">
        <f>SUM(AD166:AH166)</f>
        <v>18</v>
      </c>
      <c r="AK166" s="97">
        <f>IF(C166=2007, AJ166/3,AJ166)+AI166</f>
        <v>6</v>
      </c>
      <c r="AL166" s="22"/>
      <c r="AM166" s="13"/>
      <c r="AN166" s="13"/>
      <c r="AO166" s="13"/>
      <c r="AP166" s="13"/>
      <c r="AQ166" s="13"/>
      <c r="AR166" s="13">
        <f>1+2</f>
        <v>3</v>
      </c>
      <c r="AS166" s="13"/>
      <c r="AT166" s="95"/>
      <c r="AU166" s="96">
        <f>SUM(AM166:AS166)</f>
        <v>3</v>
      </c>
      <c r="AV166" s="97">
        <f>IF(C166=2010, AU166/3,AU166)+AT166</f>
        <v>3</v>
      </c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spans="1:67" x14ac:dyDescent="0.25">
      <c r="A167" s="60" t="s">
        <v>1183</v>
      </c>
      <c r="B167" s="65" t="s">
        <v>86</v>
      </c>
      <c r="C167" s="62">
        <v>2008</v>
      </c>
      <c r="D167" s="1">
        <f t="shared" si="58"/>
        <v>9</v>
      </c>
      <c r="I167" s="267"/>
      <c r="J167" s="267"/>
      <c r="K167" s="267"/>
      <c r="L167" s="267">
        <f>9</f>
        <v>9</v>
      </c>
      <c r="M167" s="267"/>
      <c r="N167" s="267">
        <f t="shared" si="59"/>
        <v>0</v>
      </c>
      <c r="O167" s="120"/>
      <c r="P167" s="96">
        <f t="shared" si="60"/>
        <v>9</v>
      </c>
      <c r="Q167" s="97">
        <f t="shared" si="61"/>
        <v>9</v>
      </c>
      <c r="R167" s="267"/>
      <c r="S167" s="201"/>
      <c r="T167" s="192"/>
      <c r="U167" s="183"/>
      <c r="V167" s="168"/>
      <c r="W167" s="50"/>
      <c r="X167" s="50"/>
      <c r="Y167" s="215"/>
      <c r="Z167" s="120"/>
      <c r="AA167" s="96">
        <f>S167+T167+U167+V167+W167+X167+Y167</f>
        <v>0</v>
      </c>
      <c r="AB167" s="97">
        <f>IF(C167=2008, AA167/3,AA167)+Z167</f>
        <v>0</v>
      </c>
      <c r="AC167" s="22"/>
      <c r="AD167" s="50"/>
      <c r="AE167" s="50"/>
      <c r="AF167" s="50"/>
      <c r="AG167" s="50"/>
      <c r="AH167" s="50"/>
      <c r="AI167" s="120"/>
      <c r="AJ167" s="96"/>
      <c r="AK167" s="97"/>
      <c r="AL167" s="22"/>
      <c r="AM167" s="13"/>
      <c r="AN167" s="13"/>
      <c r="AO167" s="13"/>
      <c r="AP167" s="13"/>
      <c r="AQ167" s="13"/>
      <c r="AR167" s="13"/>
      <c r="AS167" s="13"/>
      <c r="AT167" s="95"/>
      <c r="AU167" s="96"/>
      <c r="AV167" s="9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</row>
    <row r="168" spans="1:67" s="3" customFormat="1" x14ac:dyDescent="0.25">
      <c r="A168" s="11" t="s">
        <v>1171</v>
      </c>
      <c r="B168" s="87" t="s">
        <v>87</v>
      </c>
      <c r="C168" s="3">
        <v>2009</v>
      </c>
      <c r="D168" s="1">
        <f t="shared" si="58"/>
        <v>6</v>
      </c>
      <c r="E168" s="283"/>
      <c r="F168" s="278"/>
      <c r="G168" s="120"/>
      <c r="H168" s="13"/>
      <c r="I168" s="267"/>
      <c r="J168" s="267"/>
      <c r="K168" s="267"/>
      <c r="L168" s="267">
        <v>18</v>
      </c>
      <c r="M168" s="267"/>
      <c r="N168" s="267">
        <f t="shared" si="59"/>
        <v>0</v>
      </c>
      <c r="O168" s="120"/>
      <c r="P168" s="96">
        <f t="shared" si="60"/>
        <v>18</v>
      </c>
      <c r="Q168" s="97">
        <f t="shared" si="61"/>
        <v>6</v>
      </c>
      <c r="R168" s="267"/>
      <c r="S168" s="154"/>
      <c r="T168" s="154"/>
      <c r="U168" s="154"/>
      <c r="V168" s="154"/>
      <c r="W168" s="154"/>
      <c r="X168" s="154"/>
      <c r="Y168" s="154"/>
      <c r="Z168" s="13"/>
      <c r="AC168" s="13"/>
      <c r="AD168" s="13"/>
      <c r="AE168" s="13"/>
      <c r="AF168" s="13"/>
      <c r="AG168" s="13"/>
      <c r="AH168" s="13"/>
      <c r="AI168" s="13"/>
      <c r="AL168" s="13"/>
      <c r="AM168" s="13"/>
      <c r="AN168" s="13"/>
      <c r="AO168" s="13"/>
      <c r="AP168" s="13"/>
      <c r="AQ168" s="13"/>
      <c r="AR168" s="13"/>
      <c r="AS168" s="13"/>
    </row>
    <row r="169" spans="1:67" s="3" customFormat="1" x14ac:dyDescent="0.25">
      <c r="A169" s="11" t="s">
        <v>967</v>
      </c>
      <c r="B169" s="71" t="s">
        <v>0</v>
      </c>
      <c r="C169" s="62">
        <v>2009</v>
      </c>
      <c r="D169" s="1">
        <f t="shared" si="58"/>
        <v>114.33333333333333</v>
      </c>
      <c r="E169" s="287">
        <f>21+6</f>
        <v>27</v>
      </c>
      <c r="F169" s="287"/>
      <c r="G169" s="120"/>
      <c r="H169" s="290"/>
      <c r="I169" s="267">
        <f>60</f>
        <v>60</v>
      </c>
      <c r="J169" s="267">
        <f>42</f>
        <v>42</v>
      </c>
      <c r="K169" s="267">
        <f>42+14</f>
        <v>56</v>
      </c>
      <c r="L169" s="267">
        <f>6+4</f>
        <v>10</v>
      </c>
      <c r="M169" s="267"/>
      <c r="N169" s="267">
        <f t="shared" si="59"/>
        <v>94</v>
      </c>
      <c r="O169" s="120"/>
      <c r="P169" s="96">
        <f t="shared" si="60"/>
        <v>262</v>
      </c>
      <c r="Q169" s="97">
        <f t="shared" si="61"/>
        <v>87.333333333333329</v>
      </c>
      <c r="R169" s="267"/>
      <c r="S169" s="201">
        <f>20+6</f>
        <v>26</v>
      </c>
      <c r="T169" s="192">
        <f>15+6</f>
        <v>21</v>
      </c>
      <c r="U169" s="183"/>
      <c r="V169" s="168">
        <f>21</f>
        <v>21</v>
      </c>
      <c r="W169" s="50"/>
      <c r="X169" s="50">
        <f>26</f>
        <v>26</v>
      </c>
      <c r="Y169" s="215">
        <f t="shared" ref="Y169:Y176" si="62">AK169</f>
        <v>0</v>
      </c>
      <c r="Z169" s="120"/>
      <c r="AA169" s="96">
        <f t="shared" ref="AA169:AA195" si="63">S169+T169+U169+V169+W169+X169+Y169</f>
        <v>94</v>
      </c>
      <c r="AB169" s="97">
        <f>IF(C169=2012, AA169/3,AA169)+Z169</f>
        <v>94</v>
      </c>
      <c r="AC169" s="22"/>
      <c r="AD169" s="50"/>
      <c r="AE169" s="50"/>
      <c r="AF169" s="50"/>
      <c r="AG169" s="50"/>
      <c r="AH169" s="50"/>
      <c r="AI169" s="120"/>
      <c r="AJ169" s="96">
        <f>SUM(AD169:AH169)</f>
        <v>0</v>
      </c>
      <c r="AK169" s="97"/>
      <c r="AL169" s="22"/>
      <c r="AM169" s="287"/>
      <c r="AN169" s="287"/>
      <c r="AO169" s="287"/>
      <c r="AP169" s="287"/>
      <c r="AQ169" s="287"/>
      <c r="AR169" s="287"/>
      <c r="AS169" s="285"/>
      <c r="AT169" s="95"/>
      <c r="AU169" s="96"/>
      <c r="AV169" s="97"/>
    </row>
    <row r="170" spans="1:67" s="3" customFormat="1" x14ac:dyDescent="0.25">
      <c r="A170" s="71" t="s">
        <v>278</v>
      </c>
      <c r="B170" s="19" t="s">
        <v>231</v>
      </c>
      <c r="C170" s="72">
        <v>2009</v>
      </c>
      <c r="D170" s="1">
        <f t="shared" si="58"/>
        <v>3</v>
      </c>
      <c r="E170" s="283"/>
      <c r="F170" s="278"/>
      <c r="G170" s="120"/>
      <c r="H170" s="13"/>
      <c r="I170" s="261"/>
      <c r="J170" s="246"/>
      <c r="K170" s="241"/>
      <c r="L170" s="228"/>
      <c r="M170" s="215"/>
      <c r="N170" s="267">
        <f t="shared" si="59"/>
        <v>9</v>
      </c>
      <c r="O170" s="120"/>
      <c r="P170" s="96">
        <f t="shared" si="60"/>
        <v>9</v>
      </c>
      <c r="Q170" s="97">
        <f t="shared" si="61"/>
        <v>3</v>
      </c>
      <c r="R170" s="215"/>
      <c r="S170" s="201"/>
      <c r="T170" s="192"/>
      <c r="U170" s="183"/>
      <c r="V170" s="168"/>
      <c r="W170" s="50"/>
      <c r="X170" s="50"/>
      <c r="Y170" s="215">
        <f t="shared" si="62"/>
        <v>9</v>
      </c>
      <c r="Z170" s="120"/>
      <c r="AA170" s="96">
        <f t="shared" si="63"/>
        <v>9</v>
      </c>
      <c r="AB170" s="97">
        <f>IF(C170=2012, AA170/3,AA170)+Z170</f>
        <v>9</v>
      </c>
      <c r="AC170" s="22"/>
      <c r="AD170" s="50"/>
      <c r="AE170" s="50"/>
      <c r="AF170" s="50"/>
      <c r="AG170" s="50"/>
      <c r="AH170" s="50">
        <f>AV170</f>
        <v>9</v>
      </c>
      <c r="AI170" s="120"/>
      <c r="AJ170" s="96">
        <f>SUM(AD170:AH170)</f>
        <v>9</v>
      </c>
      <c r="AK170" s="97">
        <f>IF(C170=2011, AJ170/3,AJ170)+AI170</f>
        <v>9</v>
      </c>
      <c r="AL170" s="22"/>
      <c r="AM170" s="13"/>
      <c r="AN170" s="13"/>
      <c r="AO170" s="13">
        <v>9</v>
      </c>
      <c r="AP170" s="13"/>
      <c r="AQ170" s="13"/>
      <c r="AR170" s="13"/>
      <c r="AS170" s="13"/>
      <c r="AT170" s="95"/>
      <c r="AU170" s="96">
        <f>SUM(AM170:AS170)</f>
        <v>9</v>
      </c>
      <c r="AV170" s="97">
        <f>IF(C170=2010, AU170/3,AU170)+AT170</f>
        <v>9</v>
      </c>
    </row>
    <row r="171" spans="1:67" s="3" customFormat="1" x14ac:dyDescent="0.25">
      <c r="A171" s="60" t="s">
        <v>856</v>
      </c>
      <c r="B171" s="65" t="s">
        <v>86</v>
      </c>
      <c r="C171" s="62">
        <v>2007</v>
      </c>
      <c r="D171" s="1">
        <f t="shared" si="58"/>
        <v>21</v>
      </c>
      <c r="E171" s="108"/>
      <c r="F171" s="108"/>
      <c r="G171" s="120"/>
      <c r="H171" s="101"/>
      <c r="I171" s="287"/>
      <c r="J171" s="287"/>
      <c r="K171" s="287"/>
      <c r="L171" s="287"/>
      <c r="M171" s="287"/>
      <c r="N171" s="267">
        <f t="shared" si="59"/>
        <v>21</v>
      </c>
      <c r="O171" s="152"/>
      <c r="P171" s="96">
        <f t="shared" si="60"/>
        <v>21</v>
      </c>
      <c r="Q171" s="97">
        <f t="shared" si="61"/>
        <v>21</v>
      </c>
      <c r="R171" s="287"/>
      <c r="S171" s="201"/>
      <c r="T171" s="192"/>
      <c r="U171" s="183"/>
      <c r="V171" s="168"/>
      <c r="W171" s="50">
        <f>15+6</f>
        <v>21</v>
      </c>
      <c r="X171" s="50"/>
      <c r="Y171" s="215">
        <f t="shared" si="62"/>
        <v>0</v>
      </c>
      <c r="Z171" s="120"/>
      <c r="AA171" s="96">
        <f t="shared" si="63"/>
        <v>21</v>
      </c>
      <c r="AB171" s="97">
        <f>IF(C171=2008, AA171/3,AA171)+Z171</f>
        <v>21</v>
      </c>
      <c r="AC171" s="22"/>
      <c r="AD171" s="50"/>
      <c r="AE171" s="50"/>
      <c r="AF171" s="50"/>
      <c r="AG171" s="50"/>
      <c r="AH171" s="50"/>
      <c r="AI171" s="120"/>
      <c r="AJ171" s="96"/>
      <c r="AK171" s="97"/>
      <c r="AL171" s="22"/>
      <c r="AM171" s="13"/>
      <c r="AN171" s="13"/>
      <c r="AO171" s="13"/>
      <c r="AP171" s="13"/>
      <c r="AQ171" s="13"/>
      <c r="AR171" s="13"/>
      <c r="AS171" s="13"/>
      <c r="AT171" s="95"/>
      <c r="AU171" s="96"/>
      <c r="AV171" s="97"/>
    </row>
    <row r="172" spans="1:67" s="3" customFormat="1" x14ac:dyDescent="0.25">
      <c r="A172" s="11" t="s">
        <v>592</v>
      </c>
      <c r="B172" s="60" t="s">
        <v>583</v>
      </c>
      <c r="C172" s="62">
        <v>2009</v>
      </c>
      <c r="D172" s="1">
        <f t="shared" si="58"/>
        <v>2</v>
      </c>
      <c r="E172" s="283"/>
      <c r="F172" s="278"/>
      <c r="G172" s="120"/>
      <c r="H172" s="13"/>
      <c r="I172" s="261"/>
      <c r="J172" s="246"/>
      <c r="K172" s="241"/>
      <c r="L172" s="228"/>
      <c r="M172" s="215"/>
      <c r="N172" s="267">
        <f t="shared" si="59"/>
        <v>6</v>
      </c>
      <c r="O172" s="120"/>
      <c r="P172" s="96">
        <f t="shared" si="60"/>
        <v>6</v>
      </c>
      <c r="Q172" s="97">
        <f t="shared" si="61"/>
        <v>2</v>
      </c>
      <c r="R172" s="215"/>
      <c r="S172" s="201"/>
      <c r="T172" s="192"/>
      <c r="U172" s="183"/>
      <c r="V172" s="168"/>
      <c r="W172" s="50"/>
      <c r="X172" s="50">
        <f>3</f>
        <v>3</v>
      </c>
      <c r="Y172" s="215">
        <f t="shared" si="62"/>
        <v>3</v>
      </c>
      <c r="Z172" s="120"/>
      <c r="AA172" s="96">
        <f t="shared" si="63"/>
        <v>6</v>
      </c>
      <c r="AB172" s="97">
        <f>IF(C172=2012, AA172/3,AA172)+Z172</f>
        <v>6</v>
      </c>
      <c r="AC172" s="22"/>
      <c r="AD172" s="50"/>
      <c r="AE172" s="50"/>
      <c r="AF172" s="50"/>
      <c r="AG172" s="50">
        <f>3</f>
        <v>3</v>
      </c>
      <c r="AH172" s="50"/>
      <c r="AI172" s="120"/>
      <c r="AJ172" s="96">
        <f>SUM(AD172:AH172)</f>
        <v>3</v>
      </c>
      <c r="AK172" s="97">
        <f>IF(C172=2011, AJ172/3,AJ172)+AI172</f>
        <v>3</v>
      </c>
      <c r="AL172" s="22"/>
      <c r="AM172" s="41"/>
      <c r="AN172" s="41"/>
      <c r="AO172" s="41"/>
      <c r="AP172" s="41"/>
      <c r="AQ172" s="41"/>
      <c r="AR172" s="41"/>
      <c r="AS172" s="13"/>
      <c r="AT172" s="95"/>
      <c r="AU172" s="96"/>
      <c r="AV172" s="97"/>
    </row>
    <row r="173" spans="1:67" s="3" customFormat="1" x14ac:dyDescent="0.25">
      <c r="A173" s="11" t="s">
        <v>672</v>
      </c>
      <c r="B173" s="60" t="s">
        <v>476</v>
      </c>
      <c r="C173" s="62">
        <v>2007</v>
      </c>
      <c r="D173" s="1">
        <f t="shared" si="58"/>
        <v>9</v>
      </c>
      <c r="E173" s="154"/>
      <c r="F173" s="154"/>
      <c r="G173" s="120"/>
      <c r="H173" s="290"/>
      <c r="I173" s="287"/>
      <c r="J173" s="287"/>
      <c r="K173" s="287"/>
      <c r="L173" s="287"/>
      <c r="M173" s="287"/>
      <c r="N173" s="267">
        <f t="shared" si="59"/>
        <v>9</v>
      </c>
      <c r="O173" s="120"/>
      <c r="P173" s="96">
        <f t="shared" si="60"/>
        <v>9</v>
      </c>
      <c r="Q173" s="97">
        <f t="shared" si="61"/>
        <v>9</v>
      </c>
      <c r="R173" s="287"/>
      <c r="S173" s="201"/>
      <c r="T173" s="192"/>
      <c r="U173" s="183"/>
      <c r="V173" s="168"/>
      <c r="W173" s="50"/>
      <c r="X173" s="50"/>
      <c r="Y173" s="215">
        <f t="shared" si="62"/>
        <v>9</v>
      </c>
      <c r="Z173" s="120"/>
      <c r="AA173" s="96">
        <f t="shared" si="63"/>
        <v>9</v>
      </c>
      <c r="AB173" s="97">
        <f>IF(C173=2008, AA173/3,AA173)+Z173</f>
        <v>9</v>
      </c>
      <c r="AC173" s="22"/>
      <c r="AD173" s="50"/>
      <c r="AE173" s="50">
        <f>6</f>
        <v>6</v>
      </c>
      <c r="AF173" s="50">
        <f>21</f>
        <v>21</v>
      </c>
      <c r="AG173" s="50"/>
      <c r="AH173" s="50"/>
      <c r="AI173" s="120"/>
      <c r="AJ173" s="96">
        <f>SUM(AD173:AH173)</f>
        <v>27</v>
      </c>
      <c r="AK173" s="97">
        <f>IF(C173=2007, AJ173/3,AJ173)+AI173</f>
        <v>9</v>
      </c>
      <c r="AL173" s="22"/>
      <c r="AM173" s="41"/>
      <c r="AN173" s="41"/>
      <c r="AO173" s="41"/>
      <c r="AP173" s="41"/>
      <c r="AQ173" s="41"/>
      <c r="AR173" s="41"/>
      <c r="AS173" s="13"/>
      <c r="AT173" s="95"/>
      <c r="AU173" s="96"/>
      <c r="AV173" s="97"/>
    </row>
    <row r="174" spans="1:67" s="3" customFormat="1" x14ac:dyDescent="0.25">
      <c r="A174" s="60" t="s">
        <v>381</v>
      </c>
      <c r="B174" s="85" t="s">
        <v>378</v>
      </c>
      <c r="C174" s="62">
        <v>2008</v>
      </c>
      <c r="D174" s="1">
        <f t="shared" si="58"/>
        <v>5</v>
      </c>
      <c r="E174" s="154"/>
      <c r="F174" s="154"/>
      <c r="G174" s="120"/>
      <c r="H174" s="13"/>
      <c r="I174" s="261"/>
      <c r="J174" s="246"/>
      <c r="K174" s="241"/>
      <c r="L174" s="228"/>
      <c r="M174" s="215"/>
      <c r="N174" s="267">
        <f t="shared" si="59"/>
        <v>5</v>
      </c>
      <c r="O174" s="120"/>
      <c r="P174" s="96">
        <f t="shared" si="60"/>
        <v>5</v>
      </c>
      <c r="Q174" s="97">
        <f t="shared" si="61"/>
        <v>5</v>
      </c>
      <c r="R174" s="215"/>
      <c r="S174" s="201"/>
      <c r="T174" s="192"/>
      <c r="U174" s="183"/>
      <c r="V174" s="168"/>
      <c r="W174" s="50"/>
      <c r="X174" s="50"/>
      <c r="Y174" s="215">
        <f t="shared" si="62"/>
        <v>15</v>
      </c>
      <c r="Z174" s="120"/>
      <c r="AA174" s="96">
        <f t="shared" si="63"/>
        <v>15</v>
      </c>
      <c r="AB174" s="97">
        <f>IF(C174=2008, AA174/3,AA174)+Z174</f>
        <v>5</v>
      </c>
      <c r="AC174" s="22"/>
      <c r="AD174" s="50"/>
      <c r="AE174" s="50"/>
      <c r="AF174" s="50"/>
      <c r="AG174" s="50"/>
      <c r="AH174" s="50">
        <f>AV174</f>
        <v>15</v>
      </c>
      <c r="AI174" s="120"/>
      <c r="AJ174" s="96">
        <f>SUM(AD174:AH174)</f>
        <v>15</v>
      </c>
      <c r="AK174" s="97">
        <f>IF(C174=2011, AJ174/3,AJ174)+AI174</f>
        <v>15</v>
      </c>
      <c r="AL174" s="22"/>
      <c r="AM174" s="13"/>
      <c r="AN174" s="13"/>
      <c r="AO174" s="13"/>
      <c r="AP174" s="13">
        <f>15</f>
        <v>15</v>
      </c>
      <c r="AQ174" s="13"/>
      <c r="AR174" s="13"/>
      <c r="AS174" s="13"/>
      <c r="AT174" s="95"/>
      <c r="AU174" s="96">
        <f>SUM(AM174:AS174)</f>
        <v>15</v>
      </c>
      <c r="AV174" s="97">
        <f>IF(C174=2010, AU174/3,AU174)+AT174</f>
        <v>15</v>
      </c>
    </row>
    <row r="175" spans="1:67" s="3" customFormat="1" x14ac:dyDescent="0.25">
      <c r="A175" s="71" t="s">
        <v>280</v>
      </c>
      <c r="B175" s="19" t="s">
        <v>231</v>
      </c>
      <c r="C175" s="72">
        <v>2009</v>
      </c>
      <c r="D175" s="1">
        <f t="shared" si="58"/>
        <v>7.666666666666667</v>
      </c>
      <c r="E175" s="283"/>
      <c r="F175" s="278"/>
      <c r="G175" s="120"/>
      <c r="H175" s="290"/>
      <c r="I175" s="267"/>
      <c r="J175" s="267"/>
      <c r="K175" s="267"/>
      <c r="L175" s="267"/>
      <c r="M175" s="267"/>
      <c r="N175" s="267">
        <f t="shared" si="59"/>
        <v>23</v>
      </c>
      <c r="O175" s="120"/>
      <c r="P175" s="96">
        <f t="shared" si="60"/>
        <v>23</v>
      </c>
      <c r="Q175" s="97">
        <f t="shared" si="61"/>
        <v>7.666666666666667</v>
      </c>
      <c r="R175" s="267"/>
      <c r="S175" s="201"/>
      <c r="T175" s="192"/>
      <c r="U175" s="183"/>
      <c r="V175" s="168"/>
      <c r="W175" s="50"/>
      <c r="X175" s="50"/>
      <c r="Y175" s="215">
        <f t="shared" si="62"/>
        <v>23</v>
      </c>
      <c r="Z175" s="120"/>
      <c r="AA175" s="96">
        <f t="shared" si="63"/>
        <v>23</v>
      </c>
      <c r="AB175" s="97">
        <f>IF(C175=2012, AA175/3,AA175)+Z175</f>
        <v>23</v>
      </c>
      <c r="AC175" s="22"/>
      <c r="AD175" s="50"/>
      <c r="AE175" s="50"/>
      <c r="AF175" s="50">
        <f>20</f>
        <v>20</v>
      </c>
      <c r="AG175" s="50"/>
      <c r="AH175" s="50">
        <f>AV175</f>
        <v>3</v>
      </c>
      <c r="AI175" s="120"/>
      <c r="AJ175" s="96">
        <f>SUM(AD175:AH175)</f>
        <v>23</v>
      </c>
      <c r="AK175" s="97">
        <f>IF(C175=2011, AJ175/3,AJ175)+AI175</f>
        <v>23</v>
      </c>
      <c r="AL175" s="22"/>
      <c r="AM175" s="13"/>
      <c r="AN175" s="13"/>
      <c r="AO175" s="13">
        <v>3</v>
      </c>
      <c r="AP175" s="13"/>
      <c r="AQ175" s="13"/>
      <c r="AR175" s="13"/>
      <c r="AS175" s="13"/>
      <c r="AT175" s="95"/>
      <c r="AU175" s="96">
        <f>SUM(AM175:AS175)</f>
        <v>3</v>
      </c>
      <c r="AV175" s="97">
        <f>IF(C175=2010, AU175/3,AU175)+AT175</f>
        <v>3</v>
      </c>
    </row>
    <row r="176" spans="1:67" s="3" customFormat="1" x14ac:dyDescent="0.25">
      <c r="A176" s="60" t="s">
        <v>152</v>
      </c>
      <c r="B176" s="65" t="s">
        <v>86</v>
      </c>
      <c r="C176" s="62">
        <v>2007</v>
      </c>
      <c r="D176" s="1">
        <f t="shared" si="58"/>
        <v>1.3333333333333333</v>
      </c>
      <c r="E176" s="287"/>
      <c r="F176" s="287"/>
      <c r="G176" s="120"/>
      <c r="H176" s="280"/>
      <c r="I176" s="261"/>
      <c r="J176" s="246"/>
      <c r="K176" s="241"/>
      <c r="L176" s="228"/>
      <c r="M176" s="215"/>
      <c r="N176" s="267">
        <f t="shared" si="59"/>
        <v>1.3333333333333333</v>
      </c>
      <c r="O176" s="152"/>
      <c r="P176" s="96">
        <f t="shared" si="60"/>
        <v>1.3333333333333333</v>
      </c>
      <c r="Q176" s="97">
        <f t="shared" si="61"/>
        <v>1.3333333333333333</v>
      </c>
      <c r="R176" s="215"/>
      <c r="S176" s="201"/>
      <c r="T176" s="192"/>
      <c r="U176" s="183"/>
      <c r="V176" s="168"/>
      <c r="W176" s="50"/>
      <c r="X176" s="50"/>
      <c r="Y176" s="215">
        <f t="shared" si="62"/>
        <v>1.3333333333333333</v>
      </c>
      <c r="Z176" s="120"/>
      <c r="AA176" s="96">
        <f t="shared" si="63"/>
        <v>1.3333333333333333</v>
      </c>
      <c r="AB176" s="97">
        <f>IF(C176=2008, AA176/3,AA176)+Z176</f>
        <v>1.3333333333333333</v>
      </c>
      <c r="AC176" s="22"/>
      <c r="AD176" s="50"/>
      <c r="AE176" s="50"/>
      <c r="AF176" s="50"/>
      <c r="AG176" s="50"/>
      <c r="AH176" s="50">
        <f>AV176</f>
        <v>4</v>
      </c>
      <c r="AI176" s="120"/>
      <c r="AJ176" s="96">
        <f>SUM(AD176:AH176)</f>
        <v>4</v>
      </c>
      <c r="AK176" s="97">
        <f>IF(C176=2007, AJ176/3,AJ176)+AI176</f>
        <v>1.3333333333333333</v>
      </c>
      <c r="AL176" s="22"/>
      <c r="AM176" s="13"/>
      <c r="AN176" s="13">
        <v>4</v>
      </c>
      <c r="AO176" s="13"/>
      <c r="AP176" s="13">
        <f>0</f>
        <v>0</v>
      </c>
      <c r="AQ176" s="13"/>
      <c r="AR176" s="13"/>
      <c r="AS176" s="13"/>
      <c r="AT176" s="95"/>
      <c r="AU176" s="96">
        <f>SUM(AM176:AS176)</f>
        <v>4</v>
      </c>
      <c r="AV176" s="97">
        <f>IF(C176=2010, AU176/3,AU176)+AT176</f>
        <v>4</v>
      </c>
    </row>
    <row r="177" spans="1:67" s="3" customFormat="1" x14ac:dyDescent="0.25">
      <c r="A177" s="12" t="s">
        <v>1200</v>
      </c>
      <c r="B177" s="65" t="s">
        <v>87</v>
      </c>
      <c r="C177" s="4">
        <v>2008</v>
      </c>
      <c r="D177" s="1">
        <f t="shared" si="58"/>
        <v>21</v>
      </c>
      <c r="E177" s="283"/>
      <c r="F177" s="278"/>
      <c r="G177" s="120"/>
      <c r="H177" s="13"/>
      <c r="I177" s="154"/>
      <c r="J177" s="154"/>
      <c r="K177" s="154"/>
      <c r="L177" s="154">
        <f>21</f>
        <v>21</v>
      </c>
      <c r="M177" s="154"/>
      <c r="N177" s="267">
        <f t="shared" si="59"/>
        <v>0</v>
      </c>
      <c r="O177" s="122"/>
      <c r="P177" s="96">
        <f t="shared" si="60"/>
        <v>21</v>
      </c>
      <c r="Q177" s="97">
        <f t="shared" si="61"/>
        <v>21</v>
      </c>
      <c r="R177" s="154"/>
      <c r="S177" s="159"/>
      <c r="T177" s="159"/>
      <c r="U177" s="159"/>
      <c r="V177" s="159"/>
      <c r="W177" s="159"/>
      <c r="X177" s="159"/>
      <c r="Y177" s="159"/>
      <c r="Z177" s="26"/>
      <c r="AA177" s="96">
        <f t="shared" si="63"/>
        <v>0</v>
      </c>
      <c r="AB177" s="97">
        <f>IF(C177=2008, AA177/3,AA177)+Z177</f>
        <v>0</v>
      </c>
      <c r="AC177" s="26"/>
      <c r="AD177" s="26"/>
      <c r="AE177" s="26"/>
      <c r="AF177" s="26"/>
      <c r="AG177" s="26"/>
      <c r="AH177" s="26"/>
      <c r="AI177" s="26"/>
      <c r="AJ177" s="4"/>
      <c r="AK177" s="4"/>
      <c r="AL177" s="26"/>
      <c r="AM177" s="26"/>
      <c r="AN177" s="26"/>
      <c r="AO177" s="26"/>
      <c r="AP177" s="26"/>
      <c r="AQ177" s="26"/>
      <c r="AR177" s="26"/>
      <c r="AS177" s="26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</row>
    <row r="178" spans="1:67" s="3" customFormat="1" x14ac:dyDescent="0.25">
      <c r="A178" s="11" t="s">
        <v>739</v>
      </c>
      <c r="B178" s="60" t="s">
        <v>231</v>
      </c>
      <c r="C178" s="62">
        <v>2009</v>
      </c>
      <c r="D178" s="1">
        <f t="shared" si="58"/>
        <v>3.3333333333333335</v>
      </c>
      <c r="E178" s="283"/>
      <c r="F178" s="278"/>
      <c r="G178" s="120"/>
      <c r="H178" s="280"/>
      <c r="I178" s="261"/>
      <c r="J178" s="246"/>
      <c r="K178" s="241"/>
      <c r="L178" s="228"/>
      <c r="M178" s="215"/>
      <c r="N178" s="267">
        <f t="shared" si="59"/>
        <v>10</v>
      </c>
      <c r="O178" s="120"/>
      <c r="P178" s="96">
        <f t="shared" si="60"/>
        <v>10</v>
      </c>
      <c r="Q178" s="97">
        <f t="shared" si="61"/>
        <v>3.3333333333333335</v>
      </c>
      <c r="R178" s="215"/>
      <c r="S178" s="201"/>
      <c r="T178" s="192"/>
      <c r="U178" s="183"/>
      <c r="V178" s="168"/>
      <c r="W178" s="50"/>
      <c r="X178" s="50"/>
      <c r="Y178" s="215">
        <f t="shared" ref="Y178:Y195" si="64">AK178</f>
        <v>10</v>
      </c>
      <c r="Z178" s="120"/>
      <c r="AA178" s="96">
        <f t="shared" si="63"/>
        <v>10</v>
      </c>
      <c r="AB178" s="97">
        <f>IF(C178=2012, AA178/3,AA178)+Z178</f>
        <v>10</v>
      </c>
      <c r="AC178" s="22"/>
      <c r="AD178" s="50">
        <f>10</f>
        <v>10</v>
      </c>
      <c r="AE178" s="50"/>
      <c r="AF178" s="50"/>
      <c r="AG178" s="50"/>
      <c r="AH178" s="50"/>
      <c r="AI178" s="120"/>
      <c r="AJ178" s="96">
        <f>SUM(AD178:AH178)</f>
        <v>10</v>
      </c>
      <c r="AK178" s="97">
        <f>IF(C178=2011, AJ178/3,AJ178)+AI178</f>
        <v>10</v>
      </c>
      <c r="AL178" s="22"/>
      <c r="AM178" s="41"/>
      <c r="AN178" s="41"/>
      <c r="AO178" s="41"/>
      <c r="AP178" s="41"/>
      <c r="AQ178" s="41"/>
      <c r="AR178" s="41"/>
      <c r="AS178" s="13"/>
      <c r="AT178" s="95"/>
      <c r="AU178" s="96"/>
      <c r="AV178" s="97"/>
    </row>
    <row r="179" spans="1:67" s="3" customFormat="1" x14ac:dyDescent="0.25">
      <c r="A179" s="60" t="s">
        <v>175</v>
      </c>
      <c r="B179" s="85" t="s">
        <v>64</v>
      </c>
      <c r="C179" s="62">
        <v>2009</v>
      </c>
      <c r="D179" s="1">
        <f t="shared" si="58"/>
        <v>175.66666666666666</v>
      </c>
      <c r="E179" s="283">
        <f>33+12</f>
        <v>45</v>
      </c>
      <c r="F179" s="278"/>
      <c r="G179" s="120"/>
      <c r="H179" s="280"/>
      <c r="I179" s="261">
        <f>33+3</f>
        <v>36</v>
      </c>
      <c r="J179" s="246">
        <f>54+24</f>
        <v>78</v>
      </c>
      <c r="K179" s="241">
        <f>18+6</f>
        <v>24</v>
      </c>
      <c r="L179" s="228"/>
      <c r="M179" s="215"/>
      <c r="N179" s="267">
        <f t="shared" si="59"/>
        <v>254</v>
      </c>
      <c r="O179" s="120"/>
      <c r="P179" s="96">
        <f t="shared" si="60"/>
        <v>392</v>
      </c>
      <c r="Q179" s="97">
        <f t="shared" si="61"/>
        <v>130.66666666666666</v>
      </c>
      <c r="R179" s="215"/>
      <c r="S179" s="201"/>
      <c r="T179" s="192"/>
      <c r="U179" s="183"/>
      <c r="V179" s="168"/>
      <c r="W179" s="50">
        <f>24+3</f>
        <v>27</v>
      </c>
      <c r="X179" s="50">
        <f>24</f>
        <v>24</v>
      </c>
      <c r="Y179" s="215">
        <f t="shared" si="64"/>
        <v>191</v>
      </c>
      <c r="Z179" s="120">
        <f>3+6+3</f>
        <v>12</v>
      </c>
      <c r="AA179" s="96">
        <f t="shared" si="63"/>
        <v>242</v>
      </c>
      <c r="AB179" s="97">
        <f>IF(C179=2012, AA179/3,AA179)+Z179</f>
        <v>254</v>
      </c>
      <c r="AC179" s="22"/>
      <c r="AD179" s="50"/>
      <c r="AE179" s="50">
        <f>18</f>
        <v>18</v>
      </c>
      <c r="AF179" s="50">
        <f>90</f>
        <v>90</v>
      </c>
      <c r="AG179" s="50">
        <f>15+6</f>
        <v>21</v>
      </c>
      <c r="AH179" s="50">
        <f>AV179</f>
        <v>62</v>
      </c>
      <c r="AI179" s="120"/>
      <c r="AJ179" s="96">
        <f>SUM(AD179:AH179)</f>
        <v>191</v>
      </c>
      <c r="AK179" s="97">
        <f>IF(C179=2011, AJ179/3,AJ179)+AI179</f>
        <v>191</v>
      </c>
      <c r="AL179" s="22"/>
      <c r="AM179" s="13"/>
      <c r="AN179" s="13">
        <v>42</v>
      </c>
      <c r="AO179" s="13"/>
      <c r="AP179" s="13"/>
      <c r="AQ179" s="13"/>
      <c r="AR179" s="13"/>
      <c r="AS179" s="13">
        <f>20</f>
        <v>20</v>
      </c>
      <c r="AT179" s="95"/>
      <c r="AU179" s="96">
        <f>SUM(AM179:AS179)</f>
        <v>62</v>
      </c>
      <c r="AV179" s="97">
        <f>IF(C179=2010, AU179/3,AU179)+AT179</f>
        <v>62</v>
      </c>
    </row>
    <row r="180" spans="1:67" x14ac:dyDescent="0.25">
      <c r="A180" s="60" t="s">
        <v>384</v>
      </c>
      <c r="B180" s="65" t="s">
        <v>378</v>
      </c>
      <c r="C180" s="62">
        <v>2009</v>
      </c>
      <c r="D180" s="1">
        <f t="shared" si="58"/>
        <v>0</v>
      </c>
      <c r="H180" s="280"/>
      <c r="N180" s="267">
        <f t="shared" si="59"/>
        <v>0</v>
      </c>
      <c r="O180" s="120"/>
      <c r="P180" s="96">
        <f t="shared" si="60"/>
        <v>0</v>
      </c>
      <c r="Q180" s="97">
        <f t="shared" si="61"/>
        <v>0</v>
      </c>
      <c r="S180" s="201"/>
      <c r="T180" s="192"/>
      <c r="U180" s="183"/>
      <c r="V180" s="168"/>
      <c r="W180" s="50"/>
      <c r="X180" s="50"/>
      <c r="Y180" s="215">
        <f t="shared" si="64"/>
        <v>0</v>
      </c>
      <c r="Z180" s="120"/>
      <c r="AA180" s="96">
        <f t="shared" si="63"/>
        <v>0</v>
      </c>
      <c r="AB180" s="97">
        <f>IF(C180=2012, AA180/3,AA180)+Z180</f>
        <v>0</v>
      </c>
      <c r="AC180" s="22"/>
      <c r="AD180" s="50"/>
      <c r="AE180" s="50"/>
      <c r="AF180" s="50"/>
      <c r="AG180" s="50"/>
      <c r="AH180" s="50">
        <f>AV180</f>
        <v>0</v>
      </c>
      <c r="AI180" s="120"/>
      <c r="AJ180" s="96">
        <f>SUM(AD180:AH180)</f>
        <v>0</v>
      </c>
      <c r="AK180" s="97">
        <f>IF(C180=2011, AJ180/3,AJ180)+AI180</f>
        <v>0</v>
      </c>
      <c r="AL180" s="22"/>
      <c r="AM180" s="13"/>
      <c r="AN180" s="13"/>
      <c r="AO180" s="13"/>
      <c r="AP180" s="13">
        <f>0</f>
        <v>0</v>
      </c>
      <c r="AQ180" s="13"/>
      <c r="AR180" s="13"/>
      <c r="AS180" s="13"/>
      <c r="AT180" s="95"/>
      <c r="AU180" s="96">
        <f>SUM(AM180:AS180)</f>
        <v>0</v>
      </c>
      <c r="AV180" s="97">
        <f>IF(C180=2010, AU180/3,AU180)+AT180</f>
        <v>0</v>
      </c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spans="1:67" s="3" customFormat="1" x14ac:dyDescent="0.25">
      <c r="A181" s="11" t="s">
        <v>801</v>
      </c>
      <c r="B181" s="60" t="s">
        <v>583</v>
      </c>
      <c r="C181" s="62">
        <v>2008</v>
      </c>
      <c r="D181" s="1">
        <f t="shared" si="58"/>
        <v>4</v>
      </c>
      <c r="E181" s="283"/>
      <c r="F181" s="278"/>
      <c r="G181" s="120"/>
      <c r="H181" s="13"/>
      <c r="I181" s="261"/>
      <c r="J181" s="246"/>
      <c r="K181" s="241"/>
      <c r="L181" s="228"/>
      <c r="M181" s="215"/>
      <c r="N181" s="267">
        <f t="shared" si="59"/>
        <v>4</v>
      </c>
      <c r="O181" s="120"/>
      <c r="P181" s="96">
        <f t="shared" si="60"/>
        <v>4</v>
      </c>
      <c r="Q181" s="97">
        <f t="shared" si="61"/>
        <v>4</v>
      </c>
      <c r="R181" s="215"/>
      <c r="S181" s="201"/>
      <c r="T181" s="192"/>
      <c r="U181" s="183"/>
      <c r="V181" s="168"/>
      <c r="W181" s="50"/>
      <c r="X181" s="50">
        <f>12</f>
        <v>12</v>
      </c>
      <c r="Y181" s="215">
        <f t="shared" si="64"/>
        <v>0</v>
      </c>
      <c r="Z181" s="120"/>
      <c r="AA181" s="96">
        <f t="shared" si="63"/>
        <v>12</v>
      </c>
      <c r="AB181" s="97">
        <f>IF(C181=2008, AA181/3,AA181)+Z181</f>
        <v>4</v>
      </c>
      <c r="AC181" s="22"/>
      <c r="AD181" s="50"/>
      <c r="AE181" s="50"/>
      <c r="AF181" s="50"/>
      <c r="AG181" s="50"/>
      <c r="AH181" s="50"/>
      <c r="AI181" s="120"/>
      <c r="AJ181" s="96"/>
      <c r="AK181" s="97"/>
      <c r="AL181" s="22"/>
      <c r="AM181" s="41"/>
      <c r="AN181" s="41"/>
      <c r="AO181" s="41"/>
      <c r="AP181" s="41"/>
      <c r="AQ181" s="41"/>
      <c r="AR181" s="41"/>
      <c r="AS181" s="13"/>
      <c r="AT181" s="95"/>
      <c r="AU181" s="96"/>
      <c r="AV181" s="97"/>
    </row>
    <row r="182" spans="1:67" s="3" customFormat="1" x14ac:dyDescent="0.25">
      <c r="A182" s="60" t="s">
        <v>353</v>
      </c>
      <c r="B182" s="65" t="s">
        <v>86</v>
      </c>
      <c r="C182" s="62">
        <v>2006</v>
      </c>
      <c r="D182" s="1">
        <f t="shared" si="58"/>
        <v>0</v>
      </c>
      <c r="E182" s="108"/>
      <c r="F182" s="108"/>
      <c r="G182" s="120"/>
      <c r="H182" s="101"/>
      <c r="I182" s="267"/>
      <c r="J182" s="267"/>
      <c r="K182" s="267"/>
      <c r="L182" s="267"/>
      <c r="M182" s="267"/>
      <c r="N182" s="267">
        <f t="shared" si="59"/>
        <v>0</v>
      </c>
      <c r="O182" s="152"/>
      <c r="P182" s="96">
        <f t="shared" si="60"/>
        <v>0</v>
      </c>
      <c r="Q182" s="97">
        <f t="shared" si="61"/>
        <v>0</v>
      </c>
      <c r="R182" s="267"/>
      <c r="S182" s="201"/>
      <c r="T182" s="192"/>
      <c r="U182" s="183"/>
      <c r="V182" s="215"/>
      <c r="W182" s="50"/>
      <c r="X182" s="50"/>
      <c r="Y182" s="215">
        <f t="shared" si="64"/>
        <v>0</v>
      </c>
      <c r="Z182" s="120"/>
      <c r="AA182" s="96">
        <f t="shared" si="63"/>
        <v>0</v>
      </c>
      <c r="AB182" s="97">
        <f>IF(C182=2008, AA182/3,AA182)+Z182</f>
        <v>0</v>
      </c>
      <c r="AC182" s="22"/>
      <c r="AD182" s="50"/>
      <c r="AE182" s="50"/>
      <c r="AF182" s="50"/>
      <c r="AG182" s="50"/>
      <c r="AH182" s="50">
        <f>AV182</f>
        <v>0</v>
      </c>
      <c r="AI182" s="120"/>
      <c r="AJ182" s="96">
        <f t="shared" ref="AJ182:AJ187" si="65">SUM(AD182:AH182)</f>
        <v>0</v>
      </c>
      <c r="AK182" s="97">
        <f>IF(C182=2007, AJ182/3,AJ182)+AI182</f>
        <v>0</v>
      </c>
      <c r="AL182" s="22"/>
      <c r="AM182" s="13"/>
      <c r="AN182" s="13"/>
      <c r="AO182" s="13"/>
      <c r="AP182" s="13">
        <f>0</f>
        <v>0</v>
      </c>
      <c r="AQ182" s="13"/>
      <c r="AR182" s="13"/>
      <c r="AS182" s="13"/>
      <c r="AT182" s="95"/>
      <c r="AU182" s="96">
        <f>SUM(AM182:AS182)</f>
        <v>0</v>
      </c>
      <c r="AV182" s="97">
        <f>IF(C182=2006, AU182/3,AU182)+AT182</f>
        <v>0</v>
      </c>
    </row>
    <row r="183" spans="1:67" s="3" customFormat="1" x14ac:dyDescent="0.25">
      <c r="A183" s="60" t="s">
        <v>157</v>
      </c>
      <c r="B183" s="65" t="s">
        <v>63</v>
      </c>
      <c r="C183" s="62">
        <v>2006</v>
      </c>
      <c r="D183" s="1">
        <f t="shared" si="58"/>
        <v>44.666666666666671</v>
      </c>
      <c r="E183" s="287"/>
      <c r="F183" s="287"/>
      <c r="G183" s="120"/>
      <c r="H183" s="290"/>
      <c r="I183" s="287"/>
      <c r="J183" s="287"/>
      <c r="K183" s="287"/>
      <c r="L183" s="287"/>
      <c r="M183" s="287"/>
      <c r="N183" s="267">
        <f t="shared" si="59"/>
        <v>44.666666666666671</v>
      </c>
      <c r="O183" s="120"/>
      <c r="P183" s="96">
        <f t="shared" si="60"/>
        <v>44.666666666666671</v>
      </c>
      <c r="Q183" s="97">
        <f t="shared" si="61"/>
        <v>44.666666666666671</v>
      </c>
      <c r="R183" s="287"/>
      <c r="S183" s="201"/>
      <c r="T183" s="192"/>
      <c r="U183" s="183"/>
      <c r="V183" s="267">
        <f>9</f>
        <v>9</v>
      </c>
      <c r="W183" s="50">
        <f>9</f>
        <v>9</v>
      </c>
      <c r="X183" s="50"/>
      <c r="Y183" s="215">
        <f t="shared" si="64"/>
        <v>26.666666666666668</v>
      </c>
      <c r="Z183" s="120"/>
      <c r="AA183" s="96">
        <f t="shared" si="63"/>
        <v>44.666666666666671</v>
      </c>
      <c r="AB183" s="97">
        <f>IF(C183=2008, AA183/3,AA183)+Z183</f>
        <v>44.666666666666671</v>
      </c>
      <c r="AC183" s="22"/>
      <c r="AD183" s="50"/>
      <c r="AE183" s="50"/>
      <c r="AF183" s="50">
        <f>0</f>
        <v>0</v>
      </c>
      <c r="AG183" s="50">
        <f>0+3</f>
        <v>3</v>
      </c>
      <c r="AH183" s="50">
        <f>AV183</f>
        <v>23.666666666666668</v>
      </c>
      <c r="AI183" s="120"/>
      <c r="AJ183" s="96">
        <f t="shared" si="65"/>
        <v>26.666666666666668</v>
      </c>
      <c r="AK183" s="97">
        <f>IF(C183=2007, AJ183/3,AJ183)+AI183</f>
        <v>26.666666666666668</v>
      </c>
      <c r="AL183" s="22"/>
      <c r="AM183" s="13"/>
      <c r="AN183" s="13">
        <f>18+3</f>
        <v>21</v>
      </c>
      <c r="AO183" s="13"/>
      <c r="AP183" s="13">
        <f>10+3</f>
        <v>13</v>
      </c>
      <c r="AQ183" s="13">
        <f>2</f>
        <v>2</v>
      </c>
      <c r="AR183" s="13">
        <f>8+3+6</f>
        <v>17</v>
      </c>
      <c r="AS183" s="13"/>
      <c r="AT183" s="95">
        <f>6</f>
        <v>6</v>
      </c>
      <c r="AU183" s="96">
        <f>SUM(AM183:AS183)</f>
        <v>53</v>
      </c>
      <c r="AV183" s="97">
        <f>IF(C183=2006, AU183/3,AU183)+AT183</f>
        <v>23.666666666666668</v>
      </c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</row>
    <row r="184" spans="1:67" s="3" customFormat="1" x14ac:dyDescent="0.25">
      <c r="A184" s="60" t="s">
        <v>535</v>
      </c>
      <c r="B184" s="65" t="s">
        <v>529</v>
      </c>
      <c r="C184" s="62">
        <v>2007</v>
      </c>
      <c r="D184" s="1">
        <f t="shared" si="58"/>
        <v>6</v>
      </c>
      <c r="E184" s="283"/>
      <c r="F184" s="278"/>
      <c r="G184" s="120"/>
      <c r="H184" s="280"/>
      <c r="I184" s="287"/>
      <c r="J184" s="287"/>
      <c r="K184" s="287"/>
      <c r="L184" s="287"/>
      <c r="M184" s="287"/>
      <c r="N184" s="267">
        <f t="shared" si="59"/>
        <v>6</v>
      </c>
      <c r="O184" s="152"/>
      <c r="P184" s="96">
        <f t="shared" si="60"/>
        <v>6</v>
      </c>
      <c r="Q184" s="97">
        <f t="shared" si="61"/>
        <v>6</v>
      </c>
      <c r="R184" s="287"/>
      <c r="S184" s="201"/>
      <c r="T184" s="192"/>
      <c r="U184" s="183"/>
      <c r="V184" s="168"/>
      <c r="W184" s="50"/>
      <c r="X184" s="50"/>
      <c r="Y184" s="215">
        <f t="shared" si="64"/>
        <v>6</v>
      </c>
      <c r="Z184" s="120"/>
      <c r="AA184" s="96">
        <f t="shared" si="63"/>
        <v>6</v>
      </c>
      <c r="AB184" s="97">
        <f>IF(C184=2008, AA184/3,AA184)+Z184</f>
        <v>6</v>
      </c>
      <c r="AC184" s="22"/>
      <c r="AD184" s="50"/>
      <c r="AE184" s="50">
        <f>18</f>
        <v>18</v>
      </c>
      <c r="AF184" s="50"/>
      <c r="AG184" s="50"/>
      <c r="AH184" s="50">
        <f>AV184</f>
        <v>0</v>
      </c>
      <c r="AI184" s="120"/>
      <c r="AJ184" s="96">
        <f t="shared" si="65"/>
        <v>18</v>
      </c>
      <c r="AK184" s="97">
        <f>IF(C184=2007, AJ184/3,AJ184)+AI184</f>
        <v>6</v>
      </c>
      <c r="AL184" s="22"/>
      <c r="AM184" s="13"/>
      <c r="AN184" s="13"/>
      <c r="AO184" s="13"/>
      <c r="AP184" s="13"/>
      <c r="AQ184" s="13"/>
      <c r="AR184" s="13">
        <f>0</f>
        <v>0</v>
      </c>
      <c r="AS184" s="13"/>
      <c r="AT184" s="95"/>
      <c r="AU184" s="96">
        <f>SUM(AM184:AS184)</f>
        <v>0</v>
      </c>
      <c r="AV184" s="97">
        <f>IF(C184=2010, AU184/3,AU184)+AT184</f>
        <v>0</v>
      </c>
    </row>
    <row r="185" spans="1:67" s="3" customFormat="1" x14ac:dyDescent="0.25">
      <c r="A185" s="60" t="s">
        <v>165</v>
      </c>
      <c r="B185" s="65" t="s">
        <v>63</v>
      </c>
      <c r="C185" s="62">
        <v>2006</v>
      </c>
      <c r="D185" s="1">
        <f t="shared" si="58"/>
        <v>67.666666666666671</v>
      </c>
      <c r="E185" s="108"/>
      <c r="F185" s="108"/>
      <c r="G185" s="120"/>
      <c r="H185" s="101"/>
      <c r="I185" s="261"/>
      <c r="J185" s="246"/>
      <c r="K185" s="241"/>
      <c r="L185" s="228"/>
      <c r="M185" s="215"/>
      <c r="N185" s="267">
        <f t="shared" si="59"/>
        <v>67.666666666666671</v>
      </c>
      <c r="O185" s="152"/>
      <c r="P185" s="96">
        <f t="shared" si="60"/>
        <v>67.666666666666671</v>
      </c>
      <c r="Q185" s="97">
        <f t="shared" si="61"/>
        <v>67.666666666666671</v>
      </c>
      <c r="R185" s="215"/>
      <c r="S185" s="201"/>
      <c r="T185" s="192"/>
      <c r="U185" s="183"/>
      <c r="V185" s="168">
        <f>9</f>
        <v>9</v>
      </c>
      <c r="W185" s="50">
        <f>9</f>
        <v>9</v>
      </c>
      <c r="X185" s="50"/>
      <c r="Y185" s="215">
        <f t="shared" si="64"/>
        <v>49.666666666666671</v>
      </c>
      <c r="Z185" s="120"/>
      <c r="AA185" s="96">
        <f t="shared" si="63"/>
        <v>67.666666666666671</v>
      </c>
      <c r="AB185" s="97">
        <f>IF(C185=2008, AA185/3,AA185)+Z185</f>
        <v>67.666666666666671</v>
      </c>
      <c r="AC185" s="22"/>
      <c r="AD185" s="50"/>
      <c r="AE185" s="50"/>
      <c r="AF185" s="50">
        <f>6</f>
        <v>6</v>
      </c>
      <c r="AG185" s="50">
        <f>6+3</f>
        <v>9</v>
      </c>
      <c r="AH185" s="50">
        <f>AV185</f>
        <v>34.666666666666671</v>
      </c>
      <c r="AI185" s="120"/>
      <c r="AJ185" s="96">
        <f t="shared" si="65"/>
        <v>49.666666666666671</v>
      </c>
      <c r="AK185" s="97">
        <f>IF(C185=2007, AJ185/3,AJ185)+AI185</f>
        <v>49.666666666666671</v>
      </c>
      <c r="AL185" s="22"/>
      <c r="AM185" s="13"/>
      <c r="AN185" s="13">
        <f>22+3</f>
        <v>25</v>
      </c>
      <c r="AO185" s="13">
        <f>4</f>
        <v>4</v>
      </c>
      <c r="AP185" s="13">
        <f>17+3</f>
        <v>20</v>
      </c>
      <c r="AQ185" s="13">
        <f>10</f>
        <v>10</v>
      </c>
      <c r="AR185" s="13">
        <f>18+3+6</f>
        <v>27</v>
      </c>
      <c r="AS185" s="13"/>
      <c r="AT185" s="95">
        <f>6</f>
        <v>6</v>
      </c>
      <c r="AU185" s="96">
        <f>SUM(AM185:AS185)</f>
        <v>86</v>
      </c>
      <c r="AV185" s="97">
        <f>IF(C185=2006, AU185/3,AU185)+AT185</f>
        <v>34.666666666666671</v>
      </c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</row>
    <row r="186" spans="1:67" x14ac:dyDescent="0.25">
      <c r="A186" s="11" t="s">
        <v>590</v>
      </c>
      <c r="B186" s="61" t="s">
        <v>583</v>
      </c>
      <c r="C186" s="62">
        <v>2009</v>
      </c>
      <c r="D186" s="1">
        <f t="shared" si="58"/>
        <v>2</v>
      </c>
      <c r="E186" s="287"/>
      <c r="F186" s="287"/>
      <c r="N186" s="267">
        <f t="shared" si="59"/>
        <v>6</v>
      </c>
      <c r="O186" s="120"/>
      <c r="P186" s="96">
        <f t="shared" si="60"/>
        <v>6</v>
      </c>
      <c r="Q186" s="97">
        <f t="shared" si="61"/>
        <v>2</v>
      </c>
      <c r="S186" s="201"/>
      <c r="T186" s="192"/>
      <c r="U186" s="183"/>
      <c r="V186" s="168"/>
      <c r="W186" s="50"/>
      <c r="X186" s="50">
        <f>3</f>
        <v>3</v>
      </c>
      <c r="Y186" s="215">
        <f t="shared" si="64"/>
        <v>3</v>
      </c>
      <c r="Z186" s="120"/>
      <c r="AA186" s="96">
        <f t="shared" si="63"/>
        <v>6</v>
      </c>
      <c r="AB186" s="97">
        <f>IF(C186=2012, AA186/3,AA186)+Z186</f>
        <v>6</v>
      </c>
      <c r="AC186" s="22"/>
      <c r="AD186" s="50"/>
      <c r="AE186" s="50"/>
      <c r="AF186" s="50"/>
      <c r="AG186" s="50">
        <f>3</f>
        <v>3</v>
      </c>
      <c r="AH186" s="50"/>
      <c r="AI186" s="120"/>
      <c r="AJ186" s="96">
        <f t="shared" si="65"/>
        <v>3</v>
      </c>
      <c r="AK186" s="97">
        <f>IF(C186=2011, AJ186/3,AJ186)+AI186</f>
        <v>3</v>
      </c>
      <c r="AL186" s="22"/>
      <c r="AM186" s="287"/>
      <c r="AN186" s="287"/>
      <c r="AO186" s="287"/>
      <c r="AP186" s="287"/>
      <c r="AQ186" s="287"/>
      <c r="AR186" s="287"/>
      <c r="AS186" s="285"/>
      <c r="AT186" s="95"/>
      <c r="AU186" s="96"/>
      <c r="AV186" s="97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spans="1:67" s="3" customFormat="1" x14ac:dyDescent="0.25">
      <c r="A187" s="60" t="s">
        <v>153</v>
      </c>
      <c r="B187" s="65" t="s">
        <v>86</v>
      </c>
      <c r="C187" s="62">
        <v>2007</v>
      </c>
      <c r="D187" s="1">
        <f t="shared" si="58"/>
        <v>5.333333333333333</v>
      </c>
      <c r="E187" s="283"/>
      <c r="F187" s="278"/>
      <c r="G187" s="120"/>
      <c r="H187" s="280"/>
      <c r="I187" s="108"/>
      <c r="J187" s="108"/>
      <c r="K187" s="108"/>
      <c r="L187" s="108"/>
      <c r="M187" s="108"/>
      <c r="N187" s="267">
        <f t="shared" si="59"/>
        <v>5.333333333333333</v>
      </c>
      <c r="O187" s="122"/>
      <c r="P187" s="96">
        <f t="shared" si="60"/>
        <v>5.333333333333333</v>
      </c>
      <c r="Q187" s="97">
        <f t="shared" si="61"/>
        <v>5.333333333333333</v>
      </c>
      <c r="R187" s="108"/>
      <c r="S187" s="201"/>
      <c r="T187" s="192"/>
      <c r="U187" s="183"/>
      <c r="V187" s="168"/>
      <c r="W187" s="50"/>
      <c r="X187" s="50"/>
      <c r="Y187" s="215">
        <f t="shared" si="64"/>
        <v>5.333333333333333</v>
      </c>
      <c r="Z187" s="120"/>
      <c r="AA187" s="96">
        <f t="shared" si="63"/>
        <v>5.333333333333333</v>
      </c>
      <c r="AB187" s="97">
        <f>IF(C187=2008, AA187/3,AA187)+Z187</f>
        <v>5.333333333333333</v>
      </c>
      <c r="AC187" s="22"/>
      <c r="AD187" s="50"/>
      <c r="AE187" s="50"/>
      <c r="AF187" s="50"/>
      <c r="AG187" s="50"/>
      <c r="AH187" s="50">
        <f>AV187</f>
        <v>16</v>
      </c>
      <c r="AI187" s="120"/>
      <c r="AJ187" s="96">
        <f t="shared" si="65"/>
        <v>16</v>
      </c>
      <c r="AK187" s="97">
        <f>IF(C187=2007, AJ187/3,AJ187)+AI187</f>
        <v>5.333333333333333</v>
      </c>
      <c r="AL187" s="22"/>
      <c r="AM187" s="13"/>
      <c r="AN187" s="13">
        <v>4</v>
      </c>
      <c r="AO187" s="13"/>
      <c r="AP187" s="13">
        <f>12</f>
        <v>12</v>
      </c>
      <c r="AQ187" s="13"/>
      <c r="AR187" s="13"/>
      <c r="AS187" s="13"/>
      <c r="AT187" s="95"/>
      <c r="AU187" s="96">
        <f>SUM(AM187:AS187)</f>
        <v>16</v>
      </c>
      <c r="AV187" s="97">
        <f>IF(C187=2010, AU187/3,AU187)+AT187</f>
        <v>16</v>
      </c>
    </row>
    <row r="188" spans="1:67" s="3" customFormat="1" x14ac:dyDescent="0.25">
      <c r="A188" s="11" t="s">
        <v>805</v>
      </c>
      <c r="B188" s="60" t="s">
        <v>583</v>
      </c>
      <c r="C188" s="62">
        <v>2008</v>
      </c>
      <c r="D188" s="1">
        <f t="shared" si="58"/>
        <v>4</v>
      </c>
      <c r="E188" s="283"/>
      <c r="F188" s="278"/>
      <c r="G188" s="120"/>
      <c r="H188" s="13"/>
      <c r="I188" s="287"/>
      <c r="J188" s="287"/>
      <c r="K188" s="287"/>
      <c r="L188" s="287"/>
      <c r="M188" s="287"/>
      <c r="N188" s="267">
        <f t="shared" si="59"/>
        <v>4</v>
      </c>
      <c r="O188" s="152"/>
      <c r="P188" s="96">
        <f t="shared" si="60"/>
        <v>4</v>
      </c>
      <c r="Q188" s="97">
        <f t="shared" si="61"/>
        <v>4</v>
      </c>
      <c r="R188" s="287"/>
      <c r="S188" s="201"/>
      <c r="T188" s="192"/>
      <c r="U188" s="183"/>
      <c r="V188" s="168"/>
      <c r="W188" s="50"/>
      <c r="X188" s="50">
        <f>12</f>
        <v>12</v>
      </c>
      <c r="Y188" s="215">
        <f t="shared" si="64"/>
        <v>0</v>
      </c>
      <c r="Z188" s="120"/>
      <c r="AA188" s="96">
        <f t="shared" si="63"/>
        <v>12</v>
      </c>
      <c r="AB188" s="97">
        <f>IF(C188=2008, AA188/3,AA188)+Z188</f>
        <v>4</v>
      </c>
      <c r="AC188" s="22"/>
      <c r="AD188" s="50"/>
      <c r="AE188" s="50"/>
      <c r="AF188" s="50"/>
      <c r="AG188" s="50"/>
      <c r="AH188" s="50"/>
      <c r="AI188" s="120"/>
      <c r="AJ188" s="96"/>
      <c r="AK188" s="97"/>
      <c r="AL188" s="22"/>
      <c r="AM188" s="41"/>
      <c r="AN188" s="41"/>
      <c r="AO188" s="41"/>
      <c r="AP188" s="41"/>
      <c r="AQ188" s="41"/>
      <c r="AR188" s="41"/>
      <c r="AS188" s="13"/>
      <c r="AT188" s="95"/>
      <c r="AU188" s="96"/>
      <c r="AV188" s="97"/>
    </row>
    <row r="189" spans="1:67" s="3" customFormat="1" x14ac:dyDescent="0.25">
      <c r="A189" s="11" t="s">
        <v>905</v>
      </c>
      <c r="B189" s="65" t="s">
        <v>63</v>
      </c>
      <c r="C189" s="62">
        <v>2008</v>
      </c>
      <c r="D189" s="1">
        <f t="shared" si="58"/>
        <v>0</v>
      </c>
      <c r="E189" s="287"/>
      <c r="F189" s="287"/>
      <c r="G189" s="120"/>
      <c r="H189" s="13"/>
      <c r="I189" s="154"/>
      <c r="J189" s="154"/>
      <c r="K189" s="154"/>
      <c r="L189" s="154"/>
      <c r="M189" s="154"/>
      <c r="N189" s="267">
        <f t="shared" si="59"/>
        <v>0</v>
      </c>
      <c r="O189" s="122"/>
      <c r="P189" s="96">
        <f t="shared" si="60"/>
        <v>0</v>
      </c>
      <c r="Q189" s="97">
        <f t="shared" si="61"/>
        <v>0</v>
      </c>
      <c r="R189" s="154"/>
      <c r="S189" s="201"/>
      <c r="T189" s="192"/>
      <c r="U189" s="183"/>
      <c r="V189" s="168">
        <f>0</f>
        <v>0</v>
      </c>
      <c r="W189" s="50"/>
      <c r="X189" s="50"/>
      <c r="Y189" s="215">
        <f t="shared" si="64"/>
        <v>0</v>
      </c>
      <c r="Z189" s="120"/>
      <c r="AA189" s="96">
        <f t="shared" si="63"/>
        <v>0</v>
      </c>
      <c r="AB189" s="97">
        <f>IF(C189=2008, AA189/3,AA189)+Z189</f>
        <v>0</v>
      </c>
      <c r="AC189" s="22"/>
      <c r="AD189" s="50"/>
      <c r="AE189" s="50"/>
      <c r="AF189" s="50"/>
      <c r="AG189" s="50"/>
      <c r="AH189" s="50"/>
      <c r="AI189" s="120"/>
      <c r="AJ189" s="96"/>
      <c r="AK189" s="97"/>
      <c r="AL189" s="22"/>
      <c r="AM189" s="41"/>
      <c r="AN189" s="41"/>
      <c r="AO189" s="41"/>
      <c r="AP189" s="41"/>
      <c r="AQ189" s="41"/>
      <c r="AR189" s="41"/>
      <c r="AS189" s="13"/>
      <c r="AT189" s="95"/>
      <c r="AU189" s="96"/>
      <c r="AV189" s="97"/>
    </row>
    <row r="190" spans="1:67" s="3" customFormat="1" x14ac:dyDescent="0.25">
      <c r="A190" s="60" t="s">
        <v>148</v>
      </c>
      <c r="B190" s="65" t="s">
        <v>86</v>
      </c>
      <c r="C190" s="62">
        <v>2006</v>
      </c>
      <c r="D190" s="1">
        <f t="shared" si="58"/>
        <v>0</v>
      </c>
      <c r="E190" s="283"/>
      <c r="F190" s="278"/>
      <c r="G190" s="120"/>
      <c r="H190" s="280"/>
      <c r="I190" s="261"/>
      <c r="J190" s="246"/>
      <c r="K190" s="241"/>
      <c r="L190" s="228"/>
      <c r="M190" s="215"/>
      <c r="N190" s="267">
        <f t="shared" si="59"/>
        <v>0</v>
      </c>
      <c r="O190" s="120"/>
      <c r="P190" s="96">
        <f t="shared" si="60"/>
        <v>0</v>
      </c>
      <c r="Q190" s="97">
        <f t="shared" si="61"/>
        <v>0</v>
      </c>
      <c r="R190" s="215"/>
      <c r="S190" s="201"/>
      <c r="T190" s="192"/>
      <c r="U190" s="183"/>
      <c r="V190" s="168"/>
      <c r="W190" s="50"/>
      <c r="X190" s="50"/>
      <c r="Y190" s="215">
        <f t="shared" si="64"/>
        <v>0</v>
      </c>
      <c r="Z190" s="120"/>
      <c r="AA190" s="96">
        <f t="shared" si="63"/>
        <v>0</v>
      </c>
      <c r="AB190" s="97">
        <f>IF(C190=2008, AA190/3,AA190)+Z190</f>
        <v>0</v>
      </c>
      <c r="AC190" s="22"/>
      <c r="AD190" s="50"/>
      <c r="AE190" s="50"/>
      <c r="AF190" s="50"/>
      <c r="AG190" s="50"/>
      <c r="AH190" s="50">
        <f t="shared" ref="AH190:AH195" si="66">AV190</f>
        <v>0</v>
      </c>
      <c r="AI190" s="120"/>
      <c r="AJ190" s="96">
        <f t="shared" ref="AJ190:AJ195" si="67">SUM(AD190:AH190)</f>
        <v>0</v>
      </c>
      <c r="AK190" s="97">
        <f>IF(C190=2007, AJ190/3,AJ190)+AI190</f>
        <v>0</v>
      </c>
      <c r="AL190" s="22"/>
      <c r="AM190" s="13"/>
      <c r="AN190" s="13">
        <v>0</v>
      </c>
      <c r="AO190" s="13"/>
      <c r="AP190" s="13">
        <f>0</f>
        <v>0</v>
      </c>
      <c r="AQ190" s="13"/>
      <c r="AR190" s="13"/>
      <c r="AS190" s="13"/>
      <c r="AT190" s="95"/>
      <c r="AU190" s="96">
        <f t="shared" ref="AU190:AU195" si="68">SUM(AM190:AS190)</f>
        <v>0</v>
      </c>
      <c r="AV190" s="97">
        <f>IF(C190=2006, AU190/3,AU190)+AT190</f>
        <v>0</v>
      </c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</row>
    <row r="191" spans="1:67" s="3" customFormat="1" x14ac:dyDescent="0.25">
      <c r="A191" s="71" t="s">
        <v>281</v>
      </c>
      <c r="B191" s="19" t="s">
        <v>231</v>
      </c>
      <c r="C191" s="72">
        <v>2009</v>
      </c>
      <c r="D191" s="1">
        <f t="shared" si="58"/>
        <v>0</v>
      </c>
      <c r="E191" s="283"/>
      <c r="F191" s="278"/>
      <c r="G191" s="120"/>
      <c r="H191" s="13"/>
      <c r="I191" s="261"/>
      <c r="J191" s="246"/>
      <c r="K191" s="241"/>
      <c r="L191" s="228"/>
      <c r="M191" s="215"/>
      <c r="N191" s="267">
        <f t="shared" si="59"/>
        <v>0</v>
      </c>
      <c r="O191" s="120"/>
      <c r="P191" s="96">
        <f t="shared" si="60"/>
        <v>0</v>
      </c>
      <c r="Q191" s="97">
        <f t="shared" si="61"/>
        <v>0</v>
      </c>
      <c r="R191" s="215"/>
      <c r="S191" s="201"/>
      <c r="T191" s="192"/>
      <c r="U191" s="183"/>
      <c r="V191" s="168"/>
      <c r="W191" s="50"/>
      <c r="X191" s="50"/>
      <c r="Y191" s="215">
        <f t="shared" si="64"/>
        <v>0</v>
      </c>
      <c r="Z191" s="120"/>
      <c r="AA191" s="96">
        <f t="shared" si="63"/>
        <v>0</v>
      </c>
      <c r="AB191" s="97">
        <f>IF(C191=2012, AA191/3,AA191)+Z191</f>
        <v>0</v>
      </c>
      <c r="AC191" s="22"/>
      <c r="AD191" s="50"/>
      <c r="AE191" s="50"/>
      <c r="AF191" s="50"/>
      <c r="AG191" s="50"/>
      <c r="AH191" s="50">
        <f t="shared" si="66"/>
        <v>0</v>
      </c>
      <c r="AI191" s="120"/>
      <c r="AJ191" s="96">
        <f t="shared" si="67"/>
        <v>0</v>
      </c>
      <c r="AK191" s="97">
        <f>IF(C191=2011, AJ191/3,AJ191)+AI191</f>
        <v>0</v>
      </c>
      <c r="AL191" s="22"/>
      <c r="AM191" s="13"/>
      <c r="AN191" s="13"/>
      <c r="AO191" s="13">
        <v>0</v>
      </c>
      <c r="AP191" s="13"/>
      <c r="AQ191" s="13"/>
      <c r="AR191" s="13"/>
      <c r="AS191" s="13"/>
      <c r="AT191" s="95"/>
      <c r="AU191" s="96">
        <f t="shared" si="68"/>
        <v>0</v>
      </c>
      <c r="AV191" s="97">
        <f>IF(C191=2010, AU191/3,AU191)+AT191</f>
        <v>0</v>
      </c>
    </row>
    <row r="192" spans="1:67" x14ac:dyDescent="0.25">
      <c r="A192" s="60" t="s">
        <v>162</v>
      </c>
      <c r="B192" s="65" t="s">
        <v>63</v>
      </c>
      <c r="C192" s="62">
        <v>2006</v>
      </c>
      <c r="D192" s="1">
        <f t="shared" si="58"/>
        <v>0</v>
      </c>
      <c r="E192" s="154"/>
      <c r="F192" s="154"/>
      <c r="H192" s="280"/>
      <c r="N192" s="267">
        <f t="shared" si="59"/>
        <v>0</v>
      </c>
      <c r="O192" s="152"/>
      <c r="P192" s="96">
        <f t="shared" si="60"/>
        <v>0</v>
      </c>
      <c r="Q192" s="97">
        <f t="shared" si="61"/>
        <v>0</v>
      </c>
      <c r="S192" s="201"/>
      <c r="T192" s="192"/>
      <c r="U192" s="183"/>
      <c r="V192" s="168"/>
      <c r="W192" s="50"/>
      <c r="X192" s="50"/>
      <c r="Y192" s="215">
        <f t="shared" si="64"/>
        <v>0</v>
      </c>
      <c r="Z192" s="120"/>
      <c r="AA192" s="96">
        <f t="shared" si="63"/>
        <v>0</v>
      </c>
      <c r="AB192" s="97">
        <f>IF(C192=2008, AA192/3,AA192)+Z192</f>
        <v>0</v>
      </c>
      <c r="AC192" s="22"/>
      <c r="AD192" s="50"/>
      <c r="AE192" s="50"/>
      <c r="AF192" s="50"/>
      <c r="AG192" s="50"/>
      <c r="AH192" s="50">
        <f t="shared" si="66"/>
        <v>0</v>
      </c>
      <c r="AI192" s="120"/>
      <c r="AJ192" s="96">
        <f t="shared" si="67"/>
        <v>0</v>
      </c>
      <c r="AK192" s="97">
        <f>IF(C192=2007, AJ192/3,AJ192)+AI192</f>
        <v>0</v>
      </c>
      <c r="AL192" s="22"/>
      <c r="AM192" s="13"/>
      <c r="AN192" s="13">
        <v>0</v>
      </c>
      <c r="AO192" s="13"/>
      <c r="AP192" s="13"/>
      <c r="AQ192" s="13"/>
      <c r="AR192" s="13"/>
      <c r="AS192" s="13"/>
      <c r="AT192" s="95"/>
      <c r="AU192" s="96">
        <f t="shared" si="68"/>
        <v>0</v>
      </c>
      <c r="AV192" s="97">
        <f>IF(C192=2006, AU192/3,AU192)+AT192</f>
        <v>0</v>
      </c>
    </row>
    <row r="193" spans="1:67" x14ac:dyDescent="0.25">
      <c r="A193" s="60" t="s">
        <v>344</v>
      </c>
      <c r="B193" s="65" t="s">
        <v>86</v>
      </c>
      <c r="C193" s="62">
        <v>2007</v>
      </c>
      <c r="D193" s="1">
        <f t="shared" si="58"/>
        <v>32.333333333333336</v>
      </c>
      <c r="N193" s="267">
        <f t="shared" si="59"/>
        <v>32.333333333333336</v>
      </c>
      <c r="O193" s="152"/>
      <c r="P193" s="96">
        <f t="shared" si="60"/>
        <v>32.333333333333336</v>
      </c>
      <c r="Q193" s="97">
        <f t="shared" si="61"/>
        <v>32.333333333333336</v>
      </c>
      <c r="S193" s="201"/>
      <c r="T193" s="192"/>
      <c r="U193" s="183"/>
      <c r="V193" s="168"/>
      <c r="W193" s="50">
        <f>12+6+6</f>
        <v>24</v>
      </c>
      <c r="X193" s="50"/>
      <c r="Y193" s="215">
        <f t="shared" si="64"/>
        <v>8.3333333333333339</v>
      </c>
      <c r="Z193" s="120"/>
      <c r="AA193" s="96">
        <f t="shared" si="63"/>
        <v>32.333333333333336</v>
      </c>
      <c r="AB193" s="97">
        <f>IF(C193=2008, AA193/3,AA193)+Z193</f>
        <v>32.333333333333336</v>
      </c>
      <c r="AC193" s="22"/>
      <c r="AD193" s="50"/>
      <c r="AE193" s="50"/>
      <c r="AF193" s="50"/>
      <c r="AG193" s="50"/>
      <c r="AH193" s="50">
        <f t="shared" si="66"/>
        <v>25</v>
      </c>
      <c r="AI193" s="120"/>
      <c r="AJ193" s="96">
        <f t="shared" si="67"/>
        <v>25</v>
      </c>
      <c r="AK193" s="97">
        <f>IF(C193=2007, AJ193/3,AJ193)+AI193</f>
        <v>8.3333333333333339</v>
      </c>
      <c r="AL193" s="22"/>
      <c r="AM193" s="13"/>
      <c r="AN193" s="13"/>
      <c r="AO193" s="13"/>
      <c r="AP193" s="13">
        <f>21+4</f>
        <v>25</v>
      </c>
      <c r="AQ193" s="13"/>
      <c r="AR193" s="13"/>
      <c r="AS193" s="13"/>
      <c r="AT193" s="95"/>
      <c r="AU193" s="96">
        <f t="shared" si="68"/>
        <v>25</v>
      </c>
      <c r="AV193" s="97">
        <f>IF(C193=2010, AU193/3,AU193)+AT193</f>
        <v>25</v>
      </c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spans="1:67" s="3" customFormat="1" x14ac:dyDescent="0.25">
      <c r="A194" s="60" t="s">
        <v>199</v>
      </c>
      <c r="B194" s="65" t="s">
        <v>63</v>
      </c>
      <c r="C194" s="62">
        <v>2006</v>
      </c>
      <c r="D194" s="1">
        <f t="shared" si="58"/>
        <v>4.333333333333333</v>
      </c>
      <c r="E194" s="283"/>
      <c r="F194" s="278"/>
      <c r="G194" s="120"/>
      <c r="H194" s="280"/>
      <c r="I194" s="261"/>
      <c r="J194" s="246"/>
      <c r="K194" s="241"/>
      <c r="L194" s="228"/>
      <c r="M194" s="215"/>
      <c r="N194" s="267">
        <f t="shared" si="59"/>
        <v>4.333333333333333</v>
      </c>
      <c r="O194" s="120"/>
      <c r="P194" s="96">
        <f t="shared" si="60"/>
        <v>4.333333333333333</v>
      </c>
      <c r="Q194" s="97">
        <f t="shared" si="61"/>
        <v>4.333333333333333</v>
      </c>
      <c r="R194" s="215"/>
      <c r="S194" s="201"/>
      <c r="T194" s="192"/>
      <c r="U194" s="183"/>
      <c r="V194" s="168"/>
      <c r="W194" s="50"/>
      <c r="X194" s="50"/>
      <c r="Y194" s="215">
        <f t="shared" si="64"/>
        <v>4.333333333333333</v>
      </c>
      <c r="Z194" s="120"/>
      <c r="AA194" s="96">
        <f t="shared" si="63"/>
        <v>4.333333333333333</v>
      </c>
      <c r="AB194" s="97">
        <f>IF(C194=2008, AA194/3,AA194)+Z194</f>
        <v>4.333333333333333</v>
      </c>
      <c r="AC194" s="22"/>
      <c r="AD194" s="50"/>
      <c r="AE194" s="50"/>
      <c r="AF194" s="50"/>
      <c r="AG194" s="50"/>
      <c r="AH194" s="50">
        <f t="shared" si="66"/>
        <v>4.333333333333333</v>
      </c>
      <c r="AI194" s="120"/>
      <c r="AJ194" s="96">
        <f t="shared" si="67"/>
        <v>4.333333333333333</v>
      </c>
      <c r="AK194" s="97">
        <f>IF(C194=2007, AJ194/3,AJ194)+AI194</f>
        <v>4.333333333333333</v>
      </c>
      <c r="AL194" s="22"/>
      <c r="AM194" s="13"/>
      <c r="AN194" s="13">
        <v>0</v>
      </c>
      <c r="AO194" s="13"/>
      <c r="AP194" s="13">
        <f>6</f>
        <v>6</v>
      </c>
      <c r="AQ194" s="13"/>
      <c r="AR194" s="13"/>
      <c r="AS194" s="13">
        <v>7</v>
      </c>
      <c r="AT194" s="95"/>
      <c r="AU194" s="96">
        <f t="shared" si="68"/>
        <v>13</v>
      </c>
      <c r="AV194" s="97">
        <f>IF(C194=2006, AU194/3,AU194)+AT194</f>
        <v>4.333333333333333</v>
      </c>
    </row>
    <row r="195" spans="1:67" s="3" customFormat="1" x14ac:dyDescent="0.25">
      <c r="A195" s="60" t="s">
        <v>192</v>
      </c>
      <c r="B195" s="65" t="s">
        <v>86</v>
      </c>
      <c r="C195" s="62">
        <v>2007</v>
      </c>
      <c r="D195" s="1">
        <f t="shared" si="58"/>
        <v>21</v>
      </c>
      <c r="E195" s="283"/>
      <c r="F195" s="278"/>
      <c r="G195" s="120"/>
      <c r="H195" s="290"/>
      <c r="I195" s="267"/>
      <c r="J195" s="267"/>
      <c r="K195" s="267"/>
      <c r="L195" s="267"/>
      <c r="M195" s="267"/>
      <c r="N195" s="267">
        <f t="shared" si="59"/>
        <v>21</v>
      </c>
      <c r="O195" s="152"/>
      <c r="P195" s="96">
        <f t="shared" si="60"/>
        <v>21</v>
      </c>
      <c r="Q195" s="97">
        <f t="shared" si="61"/>
        <v>21</v>
      </c>
      <c r="R195" s="267"/>
      <c r="S195" s="201"/>
      <c r="T195" s="192"/>
      <c r="U195" s="183"/>
      <c r="V195" s="168"/>
      <c r="W195" s="50"/>
      <c r="X195" s="50"/>
      <c r="Y195" s="215">
        <f t="shared" si="64"/>
        <v>21</v>
      </c>
      <c r="Z195" s="120"/>
      <c r="AA195" s="96">
        <f t="shared" si="63"/>
        <v>21</v>
      </c>
      <c r="AB195" s="97">
        <f>IF(C195=2008, AA195/3,AA195)+Z195</f>
        <v>21</v>
      </c>
      <c r="AC195" s="22"/>
      <c r="AD195" s="50"/>
      <c r="AE195" s="50"/>
      <c r="AF195" s="50"/>
      <c r="AG195" s="50"/>
      <c r="AH195" s="50">
        <f t="shared" si="66"/>
        <v>63</v>
      </c>
      <c r="AI195" s="120"/>
      <c r="AJ195" s="96">
        <f t="shared" si="67"/>
        <v>63</v>
      </c>
      <c r="AK195" s="97">
        <f>IF(C195=2007, AJ195/3,AJ195)+AI195</f>
        <v>21</v>
      </c>
      <c r="AL195" s="22"/>
      <c r="AM195" s="13"/>
      <c r="AN195" s="13">
        <v>24</v>
      </c>
      <c r="AO195" s="13"/>
      <c r="AP195" s="13">
        <f>30</f>
        <v>30</v>
      </c>
      <c r="AQ195" s="13"/>
      <c r="AR195" s="13"/>
      <c r="AS195" s="13"/>
      <c r="AT195" s="95">
        <f>9</f>
        <v>9</v>
      </c>
      <c r="AU195" s="96">
        <f t="shared" si="68"/>
        <v>54</v>
      </c>
      <c r="AV195" s="97">
        <f>IF(C195=2010, AU195/3,AU195)+AT195</f>
        <v>63</v>
      </c>
    </row>
    <row r="196" spans="1:67" s="3" customFormat="1" x14ac:dyDescent="0.25">
      <c r="A196" s="11" t="s">
        <v>1155</v>
      </c>
      <c r="B196" s="60" t="s">
        <v>86</v>
      </c>
      <c r="C196" s="62">
        <v>2009</v>
      </c>
      <c r="D196" s="1">
        <f t="shared" si="58"/>
        <v>2.6666666666666665</v>
      </c>
      <c r="E196" s="283"/>
      <c r="F196" s="278"/>
      <c r="G196" s="120"/>
      <c r="H196" s="13"/>
      <c r="I196" s="267"/>
      <c r="J196" s="267"/>
      <c r="K196" s="267"/>
      <c r="L196" s="267">
        <f>8</f>
        <v>8</v>
      </c>
      <c r="M196" s="267"/>
      <c r="N196" s="267">
        <f t="shared" si="59"/>
        <v>0</v>
      </c>
      <c r="O196" s="120"/>
      <c r="P196" s="96">
        <f t="shared" si="60"/>
        <v>8</v>
      </c>
      <c r="Q196" s="97">
        <f t="shared" si="61"/>
        <v>2.6666666666666665</v>
      </c>
      <c r="R196" s="267"/>
      <c r="S196" s="201"/>
      <c r="T196" s="192"/>
      <c r="U196" s="168"/>
      <c r="V196" s="148"/>
      <c r="W196" s="50"/>
      <c r="X196" s="50"/>
      <c r="Y196" s="215"/>
      <c r="Z196" s="120"/>
      <c r="AA196" s="96"/>
      <c r="AB196" s="97"/>
      <c r="AC196" s="22"/>
      <c r="AD196" s="50"/>
      <c r="AE196" s="50"/>
      <c r="AF196" s="50"/>
      <c r="AG196" s="50"/>
      <c r="AH196" s="50"/>
      <c r="AI196" s="120"/>
      <c r="AJ196" s="96"/>
      <c r="AK196" s="97"/>
      <c r="AL196" s="22"/>
      <c r="AM196" s="41"/>
      <c r="AN196" s="41"/>
      <c r="AO196" s="41"/>
      <c r="AP196" s="41"/>
      <c r="AQ196" s="41"/>
      <c r="AR196" s="41"/>
      <c r="AS196" s="13"/>
      <c r="AT196" s="95"/>
      <c r="AU196" s="96"/>
      <c r="AV196" s="97"/>
    </row>
    <row r="197" spans="1:67" x14ac:dyDescent="0.25">
      <c r="A197" s="60" t="s">
        <v>458</v>
      </c>
      <c r="B197" s="85" t="s">
        <v>0</v>
      </c>
      <c r="C197" s="62">
        <v>2007</v>
      </c>
      <c r="D197" s="1">
        <f t="shared" si="58"/>
        <v>72.666666666666657</v>
      </c>
      <c r="E197" s="287"/>
      <c r="F197" s="287"/>
      <c r="H197" s="280"/>
      <c r="N197" s="267">
        <f t="shared" si="59"/>
        <v>72.666666666666657</v>
      </c>
      <c r="O197" s="152"/>
      <c r="P197" s="96">
        <f t="shared" si="60"/>
        <v>72.666666666666657</v>
      </c>
      <c r="Q197" s="97">
        <f t="shared" si="61"/>
        <v>72.666666666666657</v>
      </c>
      <c r="S197" s="201"/>
      <c r="T197" s="192"/>
      <c r="U197" s="183"/>
      <c r="V197" s="168">
        <f>0+3+3</f>
        <v>6</v>
      </c>
      <c r="W197" s="50">
        <f>8+6</f>
        <v>14</v>
      </c>
      <c r="X197" s="50">
        <f>8+3</f>
        <v>11</v>
      </c>
      <c r="Y197" s="215">
        <f t="shared" ref="Y197:Y202" si="69">AK197</f>
        <v>41.666666666666664</v>
      </c>
      <c r="Z197" s="120"/>
      <c r="AA197" s="96">
        <f t="shared" ref="AA197:AA204" si="70">S197+T197+U197+V197+W197+X197+Y197</f>
        <v>72.666666666666657</v>
      </c>
      <c r="AB197" s="97">
        <f>IF(C197=2008, AA197/3,AA197)+Z197</f>
        <v>72.666666666666657</v>
      </c>
      <c r="AC197" s="22"/>
      <c r="AD197" s="50">
        <f>44</f>
        <v>44</v>
      </c>
      <c r="AE197" s="50">
        <f>34</f>
        <v>34</v>
      </c>
      <c r="AF197" s="50">
        <f>38</f>
        <v>38</v>
      </c>
      <c r="AG197" s="50"/>
      <c r="AH197" s="50">
        <f>AV197</f>
        <v>9</v>
      </c>
      <c r="AI197" s="120"/>
      <c r="AJ197" s="96">
        <f t="shared" ref="AJ197:AJ202" si="71">SUM(AD197:AH197)</f>
        <v>125</v>
      </c>
      <c r="AK197" s="97">
        <f>IF(C197=2007, AJ197/3,AJ197)+AI197</f>
        <v>41.666666666666664</v>
      </c>
      <c r="AL197" s="22"/>
      <c r="AM197" s="13"/>
      <c r="AN197" s="13"/>
      <c r="AO197" s="13"/>
      <c r="AP197" s="13"/>
      <c r="AQ197" s="13">
        <f>6</f>
        <v>6</v>
      </c>
      <c r="AR197" s="13">
        <f>3</f>
        <v>3</v>
      </c>
      <c r="AS197" s="13"/>
      <c r="AT197" s="95"/>
      <c r="AU197" s="96">
        <f>SUM(AM197:AS197)</f>
        <v>9</v>
      </c>
      <c r="AV197" s="97">
        <f>IF(C197=2010, AU197/3,AU197)+AT197</f>
        <v>9</v>
      </c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spans="1:67" x14ac:dyDescent="0.25">
      <c r="A198" s="60" t="s">
        <v>185</v>
      </c>
      <c r="B198" s="85" t="s">
        <v>64</v>
      </c>
      <c r="C198" s="62">
        <v>2006</v>
      </c>
      <c r="D198" s="1">
        <f t="shared" si="58"/>
        <v>330.66666666666663</v>
      </c>
      <c r="E198" s="283">
        <f>42</f>
        <v>42</v>
      </c>
      <c r="H198" s="290"/>
      <c r="I198" s="261">
        <f>36+3</f>
        <v>39</v>
      </c>
      <c r="J198" s="246">
        <f>45+12</f>
        <v>57</v>
      </c>
      <c r="K198" s="241">
        <f>12+3</f>
        <v>15</v>
      </c>
      <c r="N198" s="267">
        <f t="shared" si="59"/>
        <v>177.66666666666666</v>
      </c>
      <c r="O198" s="152"/>
      <c r="P198" s="96">
        <f t="shared" si="60"/>
        <v>288.66666666666663</v>
      </c>
      <c r="Q198" s="97">
        <f t="shared" si="61"/>
        <v>288.66666666666663</v>
      </c>
      <c r="S198" s="201"/>
      <c r="T198" s="192">
        <f>3</f>
        <v>3</v>
      </c>
      <c r="U198" s="183"/>
      <c r="V198" s="201"/>
      <c r="W198" s="50">
        <f>15+15+3+3</f>
        <v>36</v>
      </c>
      <c r="X198" s="50">
        <f>21+3+3</f>
        <v>27</v>
      </c>
      <c r="Y198" s="215">
        <f t="shared" si="69"/>
        <v>111.66666666666666</v>
      </c>
      <c r="Z198" s="120"/>
      <c r="AA198" s="96">
        <f t="shared" si="70"/>
        <v>177.66666666666666</v>
      </c>
      <c r="AB198" s="97">
        <f>IF(C198=2008, AA198/3,AA198)+Z198</f>
        <v>177.66666666666666</v>
      </c>
      <c r="AC198" s="22"/>
      <c r="AD198" s="50"/>
      <c r="AE198" s="50">
        <f>0+3</f>
        <v>3</v>
      </c>
      <c r="AF198" s="50">
        <f>24+9</f>
        <v>33</v>
      </c>
      <c r="AG198" s="50">
        <f>21+6</f>
        <v>27</v>
      </c>
      <c r="AH198" s="50">
        <f>AV198</f>
        <v>48.666666666666664</v>
      </c>
      <c r="AI198" s="120"/>
      <c r="AJ198" s="96">
        <f t="shared" si="71"/>
        <v>111.66666666666666</v>
      </c>
      <c r="AK198" s="97">
        <f>IF(C198=2007, AJ198/3,AJ198)+AI198</f>
        <v>111.66666666666666</v>
      </c>
      <c r="AL198" s="22"/>
      <c r="AM198" s="13"/>
      <c r="AN198" s="13">
        <v>51</v>
      </c>
      <c r="AO198" s="13"/>
      <c r="AP198" s="13"/>
      <c r="AQ198" s="13"/>
      <c r="AR198" s="13"/>
      <c r="AS198" s="13">
        <f>95</f>
        <v>95</v>
      </c>
      <c r="AT198" s="95"/>
      <c r="AU198" s="96">
        <f>SUM(AM198:AS198)</f>
        <v>146</v>
      </c>
      <c r="AV198" s="97">
        <f>IF(C198=2006, AU198/3,AU198)+AT198</f>
        <v>48.666666666666664</v>
      </c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spans="1:67" s="3" customFormat="1" x14ac:dyDescent="0.25">
      <c r="A199" s="60" t="s">
        <v>575</v>
      </c>
      <c r="B199" s="65" t="s">
        <v>64</v>
      </c>
      <c r="C199" s="62">
        <v>2009</v>
      </c>
      <c r="D199" s="1">
        <f t="shared" si="58"/>
        <v>21</v>
      </c>
      <c r="E199" s="287"/>
      <c r="F199" s="287"/>
      <c r="G199" s="120"/>
      <c r="H199" s="13"/>
      <c r="I199" s="267"/>
      <c r="J199" s="267"/>
      <c r="K199" s="267"/>
      <c r="L199" s="267"/>
      <c r="M199" s="267"/>
      <c r="N199" s="267">
        <f t="shared" si="59"/>
        <v>63</v>
      </c>
      <c r="O199" s="120"/>
      <c r="P199" s="96">
        <f t="shared" si="60"/>
        <v>63</v>
      </c>
      <c r="Q199" s="97">
        <f t="shared" si="61"/>
        <v>21</v>
      </c>
      <c r="R199" s="267"/>
      <c r="S199" s="201"/>
      <c r="T199" s="192"/>
      <c r="U199" s="183"/>
      <c r="V199" s="168"/>
      <c r="W199" s="50"/>
      <c r="X199" s="50">
        <f>0</f>
        <v>0</v>
      </c>
      <c r="Y199" s="215">
        <f t="shared" si="69"/>
        <v>57</v>
      </c>
      <c r="Z199" s="120">
        <f>6</f>
        <v>6</v>
      </c>
      <c r="AA199" s="96">
        <f t="shared" si="70"/>
        <v>57</v>
      </c>
      <c r="AB199" s="97">
        <f>IF(C199=2012, AA199/3,AA199)+Z199</f>
        <v>63</v>
      </c>
      <c r="AC199" s="22"/>
      <c r="AD199" s="172"/>
      <c r="AE199" s="172">
        <f>0</f>
        <v>0</v>
      </c>
      <c r="AF199" s="50">
        <f>39</f>
        <v>39</v>
      </c>
      <c r="AG199" s="50">
        <f>12+6</f>
        <v>18</v>
      </c>
      <c r="AH199" s="50"/>
      <c r="AI199" s="120"/>
      <c r="AJ199" s="96">
        <f t="shared" si="71"/>
        <v>57</v>
      </c>
      <c r="AK199" s="97">
        <f>IF(C199=2011, AJ199/3,AJ199)+AI199</f>
        <v>57</v>
      </c>
      <c r="AL199" s="22"/>
      <c r="AM199" s="13"/>
      <c r="AN199" s="13"/>
      <c r="AO199" s="13"/>
      <c r="AP199" s="13"/>
      <c r="AQ199" s="13"/>
      <c r="AR199" s="13"/>
      <c r="AS199" s="13"/>
      <c r="AT199" s="95"/>
      <c r="AU199" s="96"/>
      <c r="AV199" s="97"/>
    </row>
    <row r="200" spans="1:67" s="3" customFormat="1" x14ac:dyDescent="0.25">
      <c r="A200" s="60" t="s">
        <v>737</v>
      </c>
      <c r="B200" s="65" t="s">
        <v>63</v>
      </c>
      <c r="C200" s="62">
        <v>2009</v>
      </c>
      <c r="D200" s="1">
        <f t="shared" si="58"/>
        <v>38.333333333333336</v>
      </c>
      <c r="E200" s="108"/>
      <c r="F200" s="108"/>
      <c r="G200" s="120"/>
      <c r="H200" s="101"/>
      <c r="I200" s="154"/>
      <c r="J200" s="154"/>
      <c r="K200" s="154"/>
      <c r="L200" s="154"/>
      <c r="M200" s="154"/>
      <c r="N200" s="267">
        <f t="shared" si="59"/>
        <v>115</v>
      </c>
      <c r="O200" s="120"/>
      <c r="P200" s="96">
        <f t="shared" si="60"/>
        <v>115</v>
      </c>
      <c r="Q200" s="97">
        <f t="shared" si="61"/>
        <v>38.333333333333336</v>
      </c>
      <c r="R200" s="154"/>
      <c r="S200" s="201"/>
      <c r="T200" s="192"/>
      <c r="U200" s="183">
        <f>5+1</f>
        <v>6</v>
      </c>
      <c r="V200" s="215">
        <f>20+4+1+6</f>
        <v>31</v>
      </c>
      <c r="W200" s="50">
        <f>17+6</f>
        <v>23</v>
      </c>
      <c r="X200" s="50">
        <f>24+6+9</f>
        <v>39</v>
      </c>
      <c r="Y200" s="215">
        <f t="shared" si="69"/>
        <v>16</v>
      </c>
      <c r="Z200" s="120"/>
      <c r="AA200" s="96">
        <f t="shared" si="70"/>
        <v>115</v>
      </c>
      <c r="AB200" s="97">
        <f>IF(C200=2012, AA200/3,AA200)+Z200</f>
        <v>115</v>
      </c>
      <c r="AC200" s="22"/>
      <c r="AD200" s="50">
        <f>14+2</f>
        <v>16</v>
      </c>
      <c r="AE200" s="50"/>
      <c r="AF200" s="50"/>
      <c r="AG200" s="50"/>
      <c r="AH200" s="50"/>
      <c r="AI200" s="120"/>
      <c r="AJ200" s="96">
        <f t="shared" si="71"/>
        <v>16</v>
      </c>
      <c r="AK200" s="97">
        <f>IF(C200=2011, AJ200/3,AJ200)+AI200</f>
        <v>16</v>
      </c>
      <c r="AL200" s="22"/>
      <c r="AM200" s="13"/>
      <c r="AN200" s="13"/>
      <c r="AO200" s="13"/>
      <c r="AP200" s="13"/>
      <c r="AQ200" s="13"/>
      <c r="AR200" s="13"/>
      <c r="AS200" s="13"/>
      <c r="AT200" s="95"/>
      <c r="AU200" s="96"/>
      <c r="AV200" s="97"/>
    </row>
    <row r="201" spans="1:67" s="3" customFormat="1" x14ac:dyDescent="0.25">
      <c r="A201" s="60" t="s">
        <v>496</v>
      </c>
      <c r="B201" s="65" t="s">
        <v>231</v>
      </c>
      <c r="C201" s="62">
        <v>2009</v>
      </c>
      <c r="D201" s="1">
        <f t="shared" si="58"/>
        <v>33</v>
      </c>
      <c r="E201" s="283">
        <f>12</f>
        <v>12</v>
      </c>
      <c r="F201" s="278">
        <f>6</f>
        <v>6</v>
      </c>
      <c r="G201" s="120"/>
      <c r="H201" s="280"/>
      <c r="I201" s="154"/>
      <c r="J201" s="154"/>
      <c r="K201" s="154"/>
      <c r="L201" s="154"/>
      <c r="M201" s="154"/>
      <c r="N201" s="267">
        <f t="shared" si="59"/>
        <v>45</v>
      </c>
      <c r="O201" s="120"/>
      <c r="P201" s="96">
        <f t="shared" si="60"/>
        <v>45</v>
      </c>
      <c r="Q201" s="97">
        <f t="shared" si="61"/>
        <v>15</v>
      </c>
      <c r="R201" s="154"/>
      <c r="S201" s="201"/>
      <c r="T201" s="192"/>
      <c r="U201" s="183"/>
      <c r="V201" s="168"/>
      <c r="W201" s="50"/>
      <c r="X201" s="50"/>
      <c r="Y201" s="215">
        <f t="shared" si="69"/>
        <v>45</v>
      </c>
      <c r="Z201" s="120"/>
      <c r="AA201" s="96">
        <f t="shared" si="70"/>
        <v>45</v>
      </c>
      <c r="AB201" s="97">
        <f>IF(C201=2012, AA201/3,AA201)+Z201</f>
        <v>45</v>
      </c>
      <c r="AC201" s="22"/>
      <c r="AD201" s="187">
        <f>16</f>
        <v>16</v>
      </c>
      <c r="AE201" s="187">
        <f>20</f>
        <v>20</v>
      </c>
      <c r="AF201" s="50"/>
      <c r="AG201" s="50"/>
      <c r="AH201" s="50">
        <f>AV201</f>
        <v>9</v>
      </c>
      <c r="AI201" s="120"/>
      <c r="AJ201" s="96">
        <f t="shared" si="71"/>
        <v>45</v>
      </c>
      <c r="AK201" s="97">
        <f>IF(C201=2011, AJ201/3,AJ201)+AI201</f>
        <v>45</v>
      </c>
      <c r="AL201" s="22"/>
      <c r="AM201" s="13"/>
      <c r="AN201" s="13"/>
      <c r="AO201" s="13"/>
      <c r="AP201" s="13"/>
      <c r="AQ201" s="13"/>
      <c r="AR201" s="13">
        <f>9</f>
        <v>9</v>
      </c>
      <c r="AS201" s="13"/>
      <c r="AT201" s="95"/>
      <c r="AU201" s="96">
        <f>SUM(AM201:AS201)</f>
        <v>9</v>
      </c>
      <c r="AV201" s="97">
        <f>IF(C201=2010, AU201/3,AU201)+AT201</f>
        <v>9</v>
      </c>
    </row>
    <row r="202" spans="1:67" s="3" customFormat="1" x14ac:dyDescent="0.25">
      <c r="A202" s="60" t="s">
        <v>174</v>
      </c>
      <c r="B202" s="65" t="s">
        <v>86</v>
      </c>
      <c r="C202" s="62">
        <v>2008</v>
      </c>
      <c r="D202" s="1">
        <f t="shared" si="58"/>
        <v>31</v>
      </c>
      <c r="E202" s="283"/>
      <c r="F202" s="278"/>
      <c r="G202" s="120"/>
      <c r="H202" s="290"/>
      <c r="I202" s="261"/>
      <c r="J202" s="246"/>
      <c r="K202" s="241"/>
      <c r="L202" s="228"/>
      <c r="M202" s="215"/>
      <c r="N202" s="267">
        <f t="shared" si="59"/>
        <v>31</v>
      </c>
      <c r="O202" s="120"/>
      <c r="P202" s="96">
        <f t="shared" si="60"/>
        <v>31</v>
      </c>
      <c r="Q202" s="97">
        <f t="shared" si="61"/>
        <v>31</v>
      </c>
      <c r="R202" s="215"/>
      <c r="S202" s="201"/>
      <c r="T202" s="192"/>
      <c r="U202" s="183"/>
      <c r="V202" s="168"/>
      <c r="W202" s="50">
        <f>3+6</f>
        <v>9</v>
      </c>
      <c r="X202" s="50"/>
      <c r="Y202" s="215">
        <f t="shared" si="69"/>
        <v>84</v>
      </c>
      <c r="Z202" s="120"/>
      <c r="AA202" s="96">
        <f t="shared" si="70"/>
        <v>93</v>
      </c>
      <c r="AB202" s="97">
        <f>IF(C202=2008, AA202/3,AA202)+Z202</f>
        <v>31</v>
      </c>
      <c r="AC202" s="22"/>
      <c r="AD202" s="50"/>
      <c r="AE202" s="50"/>
      <c r="AF202" s="50"/>
      <c r="AG202" s="50"/>
      <c r="AH202" s="50">
        <f>AV202</f>
        <v>84</v>
      </c>
      <c r="AI202" s="120"/>
      <c r="AJ202" s="96">
        <f t="shared" si="71"/>
        <v>84</v>
      </c>
      <c r="AK202" s="97">
        <f>IF(C202=2011, AJ202/3,AJ202)+AI202</f>
        <v>84</v>
      </c>
      <c r="AL202" s="22"/>
      <c r="AM202" s="13"/>
      <c r="AN202" s="13">
        <f>42+9</f>
        <v>51</v>
      </c>
      <c r="AO202" s="13"/>
      <c r="AP202" s="13">
        <f>24+9</f>
        <v>33</v>
      </c>
      <c r="AQ202" s="13"/>
      <c r="AR202" s="13"/>
      <c r="AS202" s="13"/>
      <c r="AT202" s="95"/>
      <c r="AU202" s="96">
        <f>SUM(AM202:AS202)</f>
        <v>84</v>
      </c>
      <c r="AV202" s="97">
        <f>IF(C202=2010, AU202/3,AU202)+AT202</f>
        <v>84</v>
      </c>
    </row>
    <row r="203" spans="1:67" s="3" customFormat="1" x14ac:dyDescent="0.25">
      <c r="A203" s="12" t="s">
        <v>1191</v>
      </c>
      <c r="B203" s="65" t="s">
        <v>87</v>
      </c>
      <c r="C203" s="4">
        <v>2007</v>
      </c>
      <c r="D203" s="1">
        <f t="shared" si="58"/>
        <v>36</v>
      </c>
      <c r="E203" s="283"/>
      <c r="F203" s="278"/>
      <c r="G203" s="120"/>
      <c r="H203" s="13"/>
      <c r="I203" s="261"/>
      <c r="J203" s="246"/>
      <c r="K203" s="241"/>
      <c r="L203" s="228">
        <f>36</f>
        <v>36</v>
      </c>
      <c r="M203" s="215"/>
      <c r="N203" s="267">
        <f t="shared" si="59"/>
        <v>0</v>
      </c>
      <c r="O203" s="152"/>
      <c r="P203" s="96">
        <f t="shared" si="60"/>
        <v>36</v>
      </c>
      <c r="Q203" s="97">
        <f t="shared" si="61"/>
        <v>36</v>
      </c>
      <c r="R203" s="215"/>
      <c r="S203" s="159"/>
      <c r="T203" s="159"/>
      <c r="U203" s="159"/>
      <c r="V203" s="159"/>
      <c r="W203" s="159"/>
      <c r="X203" s="159"/>
      <c r="Y203" s="159"/>
      <c r="Z203" s="26"/>
      <c r="AA203" s="96">
        <f t="shared" si="70"/>
        <v>0</v>
      </c>
      <c r="AB203" s="97">
        <f>IF(C203=2008, AA203/3,AA203)+Z203</f>
        <v>0</v>
      </c>
      <c r="AC203" s="26"/>
      <c r="AD203" s="26"/>
      <c r="AE203" s="26"/>
      <c r="AF203" s="26"/>
      <c r="AG203" s="26"/>
      <c r="AH203" s="26"/>
      <c r="AI203" s="26"/>
      <c r="AJ203" s="4"/>
      <c r="AK203" s="4"/>
      <c r="AL203" s="26"/>
      <c r="AM203" s="26"/>
      <c r="AN203" s="26"/>
      <c r="AO203" s="26"/>
      <c r="AP203" s="26"/>
      <c r="AQ203" s="26"/>
      <c r="AR203" s="26"/>
      <c r="AS203" s="26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</row>
    <row r="204" spans="1:67" x14ac:dyDescent="0.25">
      <c r="A204" s="60" t="s">
        <v>351</v>
      </c>
      <c r="B204" s="65" t="s">
        <v>86</v>
      </c>
      <c r="C204" s="62">
        <v>2009</v>
      </c>
      <c r="D204" s="1">
        <f t="shared" si="58"/>
        <v>0</v>
      </c>
      <c r="E204" s="154"/>
      <c r="F204" s="154"/>
      <c r="H204" s="290"/>
      <c r="N204" s="267">
        <f t="shared" si="59"/>
        <v>0</v>
      </c>
      <c r="O204" s="120"/>
      <c r="P204" s="96">
        <f t="shared" si="60"/>
        <v>0</v>
      </c>
      <c r="Q204" s="97">
        <f t="shared" si="61"/>
        <v>0</v>
      </c>
      <c r="S204" s="201"/>
      <c r="T204" s="192"/>
      <c r="U204" s="183"/>
      <c r="V204" s="168"/>
      <c r="W204" s="50"/>
      <c r="X204" s="50"/>
      <c r="Y204" s="215">
        <f>AK204</f>
        <v>0</v>
      </c>
      <c r="Z204" s="120"/>
      <c r="AA204" s="96">
        <f t="shared" si="70"/>
        <v>0</v>
      </c>
      <c r="AB204" s="97">
        <f>IF(C204=2012, AA204/3,AA204)+Z204</f>
        <v>0</v>
      </c>
      <c r="AC204" s="22"/>
      <c r="AD204" s="50"/>
      <c r="AE204" s="50"/>
      <c r="AF204" s="50"/>
      <c r="AG204" s="50"/>
      <c r="AH204" s="50">
        <f>AV204</f>
        <v>0</v>
      </c>
      <c r="AI204" s="120"/>
      <c r="AJ204" s="96">
        <f>SUM(AD204:AH204)</f>
        <v>0</v>
      </c>
      <c r="AK204" s="97">
        <f>IF(C204=2011, AJ204/3,AJ204)+AI204</f>
        <v>0</v>
      </c>
      <c r="AL204" s="22"/>
      <c r="AM204" s="13"/>
      <c r="AN204" s="13"/>
      <c r="AO204" s="13"/>
      <c r="AP204" s="13">
        <f>0</f>
        <v>0</v>
      </c>
      <c r="AQ204" s="13"/>
      <c r="AR204" s="13"/>
      <c r="AS204" s="13"/>
      <c r="AT204" s="95"/>
      <c r="AU204" s="96">
        <f>SUM(AM204:AS204)</f>
        <v>0</v>
      </c>
      <c r="AV204" s="97">
        <f>IF(C204=2010, AU204/3,AU204)+AT204</f>
        <v>0</v>
      </c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spans="1:67" s="3" customFormat="1" x14ac:dyDescent="0.25">
      <c r="A205" s="11" t="s">
        <v>1182</v>
      </c>
      <c r="B205" s="87" t="s">
        <v>87</v>
      </c>
      <c r="C205" s="3">
        <v>2009</v>
      </c>
      <c r="D205" s="1">
        <f t="shared" si="58"/>
        <v>0</v>
      </c>
      <c r="E205" s="283"/>
      <c r="F205" s="278"/>
      <c r="G205" s="120"/>
      <c r="H205" s="13"/>
      <c r="I205" s="261"/>
      <c r="J205" s="246"/>
      <c r="K205" s="241"/>
      <c r="L205" s="228">
        <f>0</f>
        <v>0</v>
      </c>
      <c r="M205" s="215"/>
      <c r="N205" s="267">
        <f t="shared" si="59"/>
        <v>0</v>
      </c>
      <c r="O205" s="120"/>
      <c r="P205" s="96">
        <f t="shared" si="60"/>
        <v>0</v>
      </c>
      <c r="Q205" s="97">
        <f t="shared" si="61"/>
        <v>0</v>
      </c>
      <c r="R205" s="215"/>
      <c r="S205" s="154"/>
      <c r="T205" s="154"/>
      <c r="U205" s="154"/>
      <c r="V205" s="154"/>
      <c r="W205" s="154"/>
      <c r="X205" s="154"/>
      <c r="Y205" s="154"/>
      <c r="Z205" s="13"/>
      <c r="AC205" s="13"/>
      <c r="AD205" s="13"/>
      <c r="AE205" s="13"/>
      <c r="AF205" s="13"/>
      <c r="AG205" s="13"/>
      <c r="AH205" s="13"/>
      <c r="AI205" s="13"/>
      <c r="AL205" s="13"/>
      <c r="AM205" s="13"/>
      <c r="AN205" s="13"/>
      <c r="AO205" s="13"/>
      <c r="AP205" s="13"/>
      <c r="AQ205" s="13"/>
      <c r="AR205" s="13"/>
      <c r="AS205" s="13"/>
    </row>
    <row r="206" spans="1:67" s="3" customFormat="1" x14ac:dyDescent="0.25">
      <c r="A206" s="60" t="s">
        <v>170</v>
      </c>
      <c r="B206" s="65" t="s">
        <v>87</v>
      </c>
      <c r="C206" s="62">
        <v>2008</v>
      </c>
      <c r="D206" s="1">
        <f t="shared" si="58"/>
        <v>24</v>
      </c>
      <c r="E206" s="287"/>
      <c r="F206" s="287"/>
      <c r="G206" s="120"/>
      <c r="H206" s="280"/>
      <c r="I206" s="261"/>
      <c r="J206" s="246"/>
      <c r="K206" s="241"/>
      <c r="L206" s="228"/>
      <c r="M206" s="215"/>
      <c r="N206" s="267">
        <f t="shared" si="59"/>
        <v>24</v>
      </c>
      <c r="O206" s="120"/>
      <c r="P206" s="96">
        <f t="shared" si="60"/>
        <v>24</v>
      </c>
      <c r="Q206" s="97">
        <f t="shared" si="61"/>
        <v>24</v>
      </c>
      <c r="R206" s="215"/>
      <c r="S206" s="201"/>
      <c r="T206" s="192"/>
      <c r="U206" s="183"/>
      <c r="V206" s="168"/>
      <c r="W206" s="50"/>
      <c r="X206" s="50"/>
      <c r="Y206" s="215">
        <f t="shared" ref="Y206:Y222" si="72">AK206</f>
        <v>72</v>
      </c>
      <c r="Z206" s="120"/>
      <c r="AA206" s="96">
        <f t="shared" ref="AA206:AA222" si="73">S206+T206+U206+V206+W206+X206+Y206</f>
        <v>72</v>
      </c>
      <c r="AB206" s="97">
        <f>IF(C206=2008, AA206/3,AA206)+Z206</f>
        <v>24</v>
      </c>
      <c r="AC206" s="22"/>
      <c r="AD206" s="215"/>
      <c r="AE206" s="215"/>
      <c r="AF206" s="50"/>
      <c r="AG206" s="50"/>
      <c r="AH206" s="50">
        <f>AV206</f>
        <v>72</v>
      </c>
      <c r="AI206" s="120"/>
      <c r="AJ206" s="96">
        <f>SUM(AD206:AH206)</f>
        <v>72</v>
      </c>
      <c r="AK206" s="97">
        <f>IF(C206=2011, AJ206/3,AJ206)+AI206</f>
        <v>72</v>
      </c>
      <c r="AL206" s="22"/>
      <c r="AM206" s="13"/>
      <c r="AN206" s="13">
        <f>57+15</f>
        <v>72</v>
      </c>
      <c r="AO206" s="13"/>
      <c r="AP206" s="13"/>
      <c r="AQ206" s="13"/>
      <c r="AR206" s="13"/>
      <c r="AS206" s="13"/>
      <c r="AT206" s="95"/>
      <c r="AU206" s="96">
        <f>SUM(AM206:AS206)</f>
        <v>72</v>
      </c>
      <c r="AV206" s="97">
        <f>IF(C206=2010, AU206/3,AU206)+AT206</f>
        <v>72</v>
      </c>
    </row>
    <row r="207" spans="1:67" s="3" customFormat="1" x14ac:dyDescent="0.25">
      <c r="A207" s="11" t="s">
        <v>746</v>
      </c>
      <c r="B207" s="60" t="s">
        <v>63</v>
      </c>
      <c r="C207" s="62">
        <v>2009</v>
      </c>
      <c r="D207" s="1">
        <f t="shared" si="58"/>
        <v>13.333333333333334</v>
      </c>
      <c r="E207" s="283"/>
      <c r="F207" s="278"/>
      <c r="G207" s="120"/>
      <c r="H207" s="280"/>
      <c r="I207" s="154"/>
      <c r="J207" s="154"/>
      <c r="K207" s="154"/>
      <c r="L207" s="154"/>
      <c r="M207" s="154"/>
      <c r="N207" s="267">
        <f t="shared" si="59"/>
        <v>40</v>
      </c>
      <c r="O207" s="120"/>
      <c r="P207" s="96">
        <f t="shared" si="60"/>
        <v>40</v>
      </c>
      <c r="Q207" s="97">
        <f t="shared" si="61"/>
        <v>13.333333333333334</v>
      </c>
      <c r="R207" s="154"/>
      <c r="S207" s="201"/>
      <c r="T207" s="192"/>
      <c r="U207" s="183">
        <f>1+1</f>
        <v>2</v>
      </c>
      <c r="V207" s="168">
        <f>4+1</f>
        <v>5</v>
      </c>
      <c r="W207" s="50">
        <f>13</f>
        <v>13</v>
      </c>
      <c r="X207" s="50">
        <f>12+6</f>
        <v>18</v>
      </c>
      <c r="Y207" s="215">
        <f t="shared" si="72"/>
        <v>2</v>
      </c>
      <c r="Z207" s="120"/>
      <c r="AA207" s="96">
        <f t="shared" si="73"/>
        <v>40</v>
      </c>
      <c r="AB207" s="97">
        <f>IF(C207=2012, AA207/3,AA207)+Z207</f>
        <v>40</v>
      </c>
      <c r="AC207" s="22"/>
      <c r="AD207" s="50">
        <f>0+2</f>
        <v>2</v>
      </c>
      <c r="AE207" s="50"/>
      <c r="AF207" s="50"/>
      <c r="AG207" s="50"/>
      <c r="AH207" s="50"/>
      <c r="AI207" s="120"/>
      <c r="AJ207" s="96">
        <f>SUM(AD207:AH207)</f>
        <v>2</v>
      </c>
      <c r="AK207" s="97">
        <f>IF(C207=2011, AJ207/3,AJ207)+AI207</f>
        <v>2</v>
      </c>
      <c r="AL207" s="22"/>
      <c r="AM207" s="41"/>
      <c r="AN207" s="41"/>
      <c r="AO207" s="41"/>
      <c r="AP207" s="41"/>
      <c r="AQ207" s="41"/>
      <c r="AR207" s="41"/>
      <c r="AS207" s="13"/>
      <c r="AT207" s="95"/>
      <c r="AU207" s="96"/>
      <c r="AV207" s="97"/>
    </row>
    <row r="208" spans="1:67" x14ac:dyDescent="0.25">
      <c r="A208" s="11" t="s">
        <v>907</v>
      </c>
      <c r="B208" s="65" t="s">
        <v>63</v>
      </c>
      <c r="C208" s="62">
        <v>2008</v>
      </c>
      <c r="D208" s="1">
        <f t="shared" si="58"/>
        <v>0</v>
      </c>
      <c r="E208" s="154"/>
      <c r="F208" s="154"/>
      <c r="H208" s="290"/>
      <c r="N208" s="267">
        <f t="shared" si="59"/>
        <v>0</v>
      </c>
      <c r="O208" s="152"/>
      <c r="P208" s="96">
        <f t="shared" si="60"/>
        <v>0</v>
      </c>
      <c r="Q208" s="97">
        <f t="shared" si="61"/>
        <v>0</v>
      </c>
      <c r="S208" s="201"/>
      <c r="T208" s="192"/>
      <c r="U208" s="183"/>
      <c r="V208" s="168">
        <f>0</f>
        <v>0</v>
      </c>
      <c r="W208" s="50"/>
      <c r="X208" s="50"/>
      <c r="Y208" s="215">
        <f t="shared" si="72"/>
        <v>0</v>
      </c>
      <c r="Z208" s="120"/>
      <c r="AA208" s="96">
        <f t="shared" si="73"/>
        <v>0</v>
      </c>
      <c r="AB208" s="97">
        <f>IF(C208=2008, AA208/3,AA208)+Z208</f>
        <v>0</v>
      </c>
      <c r="AC208" s="22"/>
      <c r="AD208" s="50"/>
      <c r="AE208" s="50"/>
      <c r="AF208" s="50"/>
      <c r="AG208" s="50"/>
      <c r="AH208" s="50"/>
      <c r="AI208" s="120"/>
      <c r="AJ208" s="96"/>
      <c r="AK208" s="97"/>
      <c r="AL208" s="22"/>
      <c r="AM208" s="41"/>
      <c r="AN208" s="41"/>
      <c r="AO208" s="41"/>
      <c r="AP208" s="41"/>
      <c r="AQ208" s="41"/>
      <c r="AR208" s="41"/>
      <c r="AS208" s="13"/>
      <c r="AT208" s="95"/>
      <c r="AU208" s="96"/>
      <c r="AV208" s="97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spans="1:67" x14ac:dyDescent="0.25">
      <c r="A209" s="60" t="s">
        <v>508</v>
      </c>
      <c r="B209" s="85" t="s">
        <v>8</v>
      </c>
      <c r="C209" s="62">
        <v>2007</v>
      </c>
      <c r="D209" s="1">
        <f t="shared" si="58"/>
        <v>30</v>
      </c>
      <c r="H209" s="280"/>
      <c r="I209" s="267"/>
      <c r="J209" s="267"/>
      <c r="K209" s="267"/>
      <c r="L209" s="267"/>
      <c r="M209" s="267"/>
      <c r="N209" s="267">
        <f t="shared" si="59"/>
        <v>30</v>
      </c>
      <c r="O209" s="120"/>
      <c r="P209" s="96">
        <f t="shared" si="60"/>
        <v>30</v>
      </c>
      <c r="Q209" s="97">
        <f t="shared" si="61"/>
        <v>30</v>
      </c>
      <c r="R209" s="267"/>
      <c r="S209" s="201"/>
      <c r="T209" s="192"/>
      <c r="U209" s="183"/>
      <c r="V209" s="168"/>
      <c r="W209" s="50"/>
      <c r="X209" s="50"/>
      <c r="Y209" s="215">
        <f t="shared" si="72"/>
        <v>30</v>
      </c>
      <c r="Z209" s="120"/>
      <c r="AA209" s="96">
        <f t="shared" si="73"/>
        <v>30</v>
      </c>
      <c r="AB209" s="97">
        <f>IF(C209=2008, AA209/3,AA209)+Z209</f>
        <v>30</v>
      </c>
      <c r="AC209" s="22"/>
      <c r="AD209" s="50"/>
      <c r="AE209" s="50"/>
      <c r="AF209" s="50">
        <f>14</f>
        <v>14</v>
      </c>
      <c r="AG209" s="50"/>
      <c r="AH209" s="50">
        <f>AV209</f>
        <v>76</v>
      </c>
      <c r="AI209" s="120"/>
      <c r="AJ209" s="96">
        <f t="shared" ref="AJ209:AJ219" si="74">SUM(AD209:AH209)</f>
        <v>90</v>
      </c>
      <c r="AK209" s="97">
        <f>IF(C209=2007, AJ209/3,AJ209)+AI209</f>
        <v>30</v>
      </c>
      <c r="AL209" s="22"/>
      <c r="AM209" s="13"/>
      <c r="AN209" s="13"/>
      <c r="AO209" s="13"/>
      <c r="AP209" s="13"/>
      <c r="AQ209" s="13"/>
      <c r="AR209" s="13">
        <f>0</f>
        <v>0</v>
      </c>
      <c r="AS209" s="13">
        <f>70</f>
        <v>70</v>
      </c>
      <c r="AT209" s="95">
        <f>6</f>
        <v>6</v>
      </c>
      <c r="AU209" s="96">
        <f>SUM(AM209:AS209)</f>
        <v>70</v>
      </c>
      <c r="AV209" s="97">
        <f>IF(C209=2010, AU209/3,AU209)+AT209</f>
        <v>76</v>
      </c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spans="1:67" x14ac:dyDescent="0.25">
      <c r="A210" s="60" t="s">
        <v>377</v>
      </c>
      <c r="B210" s="65" t="s">
        <v>378</v>
      </c>
      <c r="C210" s="62">
        <v>2009</v>
      </c>
      <c r="D210" s="1">
        <f t="shared" si="58"/>
        <v>0.66666666666666663</v>
      </c>
      <c r="H210" s="280"/>
      <c r="N210" s="267">
        <f t="shared" si="59"/>
        <v>2</v>
      </c>
      <c r="O210" s="120"/>
      <c r="P210" s="96">
        <f t="shared" si="60"/>
        <v>2</v>
      </c>
      <c r="Q210" s="97">
        <f t="shared" si="61"/>
        <v>0.66666666666666663</v>
      </c>
      <c r="S210" s="201"/>
      <c r="T210" s="192"/>
      <c r="U210" s="183"/>
      <c r="V210" s="168"/>
      <c r="W210" s="50"/>
      <c r="X210" s="50"/>
      <c r="Y210" s="215">
        <f t="shared" si="72"/>
        <v>2</v>
      </c>
      <c r="Z210" s="120"/>
      <c r="AA210" s="96">
        <f t="shared" si="73"/>
        <v>2</v>
      </c>
      <c r="AB210" s="97">
        <f>IF(C210=2012, AA210/3,AA210)+Z210</f>
        <v>2</v>
      </c>
      <c r="AC210" s="22"/>
      <c r="AD210" s="50"/>
      <c r="AE210" s="50"/>
      <c r="AF210" s="50"/>
      <c r="AG210" s="50"/>
      <c r="AH210" s="50">
        <f>AV210</f>
        <v>2</v>
      </c>
      <c r="AI210" s="120"/>
      <c r="AJ210" s="96">
        <f t="shared" si="74"/>
        <v>2</v>
      </c>
      <c r="AK210" s="97">
        <f>IF(C210=2011, AJ210/3,AJ210)+AI210</f>
        <v>2</v>
      </c>
      <c r="AL210" s="22"/>
      <c r="AM210" s="13"/>
      <c r="AN210" s="13"/>
      <c r="AO210" s="13"/>
      <c r="AP210" s="13">
        <f>2</f>
        <v>2</v>
      </c>
      <c r="AQ210" s="13"/>
      <c r="AR210" s="13"/>
      <c r="AS210" s="13"/>
      <c r="AT210" s="95"/>
      <c r="AU210" s="96">
        <f>SUM(AM210:AS210)</f>
        <v>2</v>
      </c>
      <c r="AV210" s="97">
        <f>IF(C210=2010, AU210/3,AU210)+AT210</f>
        <v>2</v>
      </c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spans="1:67" x14ac:dyDescent="0.25">
      <c r="A211" s="60" t="s">
        <v>528</v>
      </c>
      <c r="B211" s="65" t="s">
        <v>529</v>
      </c>
      <c r="C211" s="62">
        <v>2005</v>
      </c>
      <c r="D211" s="1">
        <f t="shared" si="58"/>
        <v>15</v>
      </c>
      <c r="H211" s="280"/>
      <c r="I211" s="267"/>
      <c r="J211" s="267"/>
      <c r="K211" s="267"/>
      <c r="L211" s="267"/>
      <c r="M211" s="267"/>
      <c r="N211" s="267">
        <f t="shared" si="59"/>
        <v>15</v>
      </c>
      <c r="O211" s="152"/>
      <c r="P211" s="96">
        <f t="shared" si="60"/>
        <v>15</v>
      </c>
      <c r="Q211" s="97">
        <f t="shared" si="61"/>
        <v>15</v>
      </c>
      <c r="R211" s="267"/>
      <c r="S211" s="201"/>
      <c r="T211" s="192"/>
      <c r="U211" s="183"/>
      <c r="V211" s="168"/>
      <c r="W211" s="50"/>
      <c r="X211" s="50"/>
      <c r="Y211" s="215">
        <f t="shared" si="72"/>
        <v>15</v>
      </c>
      <c r="Z211" s="120"/>
      <c r="AA211" s="96">
        <f t="shared" si="73"/>
        <v>15</v>
      </c>
      <c r="AB211" s="97">
        <f>IF(C211=2008, AA211/3,AA211)+Z211</f>
        <v>15</v>
      </c>
      <c r="AC211" s="22"/>
      <c r="AD211" s="50"/>
      <c r="AE211" s="50">
        <f>6</f>
        <v>6</v>
      </c>
      <c r="AF211" s="50"/>
      <c r="AG211" s="50"/>
      <c r="AH211" s="50">
        <f>AV211</f>
        <v>9</v>
      </c>
      <c r="AI211" s="120"/>
      <c r="AJ211" s="96">
        <f t="shared" si="74"/>
        <v>15</v>
      </c>
      <c r="AK211" s="97">
        <f>IF(C211=2007, AJ211/3,AJ211)+AI211</f>
        <v>15</v>
      </c>
      <c r="AL211" s="22"/>
      <c r="AR211" s="26">
        <f>0</f>
        <v>0</v>
      </c>
      <c r="AS211" s="26">
        <f>9</f>
        <v>9</v>
      </c>
      <c r="AT211" s="95"/>
      <c r="AU211" s="96">
        <f>SUM(AM211:AS211)</f>
        <v>9</v>
      </c>
      <c r="AV211" s="97">
        <f>IF(C211=2006, AU211/3,AU211)+AT211</f>
        <v>9</v>
      </c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spans="1:67" s="3" customFormat="1" x14ac:dyDescent="0.25">
      <c r="A212" s="60" t="s">
        <v>647</v>
      </c>
      <c r="B212" s="65" t="s">
        <v>63</v>
      </c>
      <c r="C212" s="62">
        <v>2009</v>
      </c>
      <c r="D212" s="1">
        <f t="shared" si="58"/>
        <v>7</v>
      </c>
      <c r="E212" s="283"/>
      <c r="F212" s="278"/>
      <c r="G212" s="120"/>
      <c r="H212" s="13"/>
      <c r="I212" s="287"/>
      <c r="J212" s="287"/>
      <c r="K212" s="287"/>
      <c r="L212" s="287"/>
      <c r="M212" s="287"/>
      <c r="N212" s="267">
        <f t="shared" si="59"/>
        <v>21</v>
      </c>
      <c r="O212" s="120"/>
      <c r="P212" s="96">
        <f t="shared" si="60"/>
        <v>21</v>
      </c>
      <c r="Q212" s="97">
        <f t="shared" si="61"/>
        <v>7</v>
      </c>
      <c r="R212" s="287"/>
      <c r="S212" s="201"/>
      <c r="T212" s="192"/>
      <c r="U212" s="183"/>
      <c r="V212" s="168">
        <f>0+6</f>
        <v>6</v>
      </c>
      <c r="W212" s="50">
        <f>0+6</f>
        <v>6</v>
      </c>
      <c r="X212" s="50">
        <f>0+9</f>
        <v>9</v>
      </c>
      <c r="Y212" s="215">
        <f t="shared" si="72"/>
        <v>0</v>
      </c>
      <c r="Z212" s="120"/>
      <c r="AA212" s="96">
        <f t="shared" si="73"/>
        <v>21</v>
      </c>
      <c r="AB212" s="97">
        <f>IF(C212=2012, AA212/3,AA212)+Z212</f>
        <v>21</v>
      </c>
      <c r="AC212" s="22"/>
      <c r="AD212" s="50">
        <f>0</f>
        <v>0</v>
      </c>
      <c r="AE212" s="50">
        <f>0</f>
        <v>0</v>
      </c>
      <c r="AF212" s="50">
        <f>0</f>
        <v>0</v>
      </c>
      <c r="AG212" s="50"/>
      <c r="AH212" s="50"/>
      <c r="AI212" s="120"/>
      <c r="AJ212" s="96">
        <f t="shared" si="74"/>
        <v>0</v>
      </c>
      <c r="AK212" s="97">
        <f>IF(C212=2011, AJ212/3,AJ212)+AI212</f>
        <v>0</v>
      </c>
      <c r="AL212" s="22"/>
      <c r="AM212" s="13"/>
      <c r="AN212" s="13"/>
      <c r="AO212" s="13"/>
      <c r="AP212" s="13"/>
      <c r="AQ212" s="13"/>
      <c r="AR212" s="13"/>
      <c r="AS212" s="13"/>
      <c r="AT212" s="95"/>
      <c r="AU212" s="96"/>
      <c r="AV212" s="97"/>
    </row>
    <row r="213" spans="1:67" s="17" customFormat="1" x14ac:dyDescent="0.25">
      <c r="A213" s="60" t="s">
        <v>438</v>
      </c>
      <c r="B213" s="65" t="s">
        <v>111</v>
      </c>
      <c r="C213" s="62">
        <v>2009</v>
      </c>
      <c r="D213" s="1">
        <f t="shared" si="58"/>
        <v>0</v>
      </c>
      <c r="E213" s="287"/>
      <c r="F213" s="287"/>
      <c r="G213" s="120"/>
      <c r="H213" s="290"/>
      <c r="I213" s="261"/>
      <c r="J213" s="246"/>
      <c r="K213" s="241"/>
      <c r="L213" s="228"/>
      <c r="M213" s="215"/>
      <c r="N213" s="267">
        <f t="shared" si="59"/>
        <v>0</v>
      </c>
      <c r="O213" s="120"/>
      <c r="P213" s="96">
        <f t="shared" si="60"/>
        <v>0</v>
      </c>
      <c r="Q213" s="97">
        <f t="shared" si="61"/>
        <v>0</v>
      </c>
      <c r="R213" s="215"/>
      <c r="S213" s="201"/>
      <c r="T213" s="192"/>
      <c r="U213" s="183"/>
      <c r="V213" s="168"/>
      <c r="W213" s="50"/>
      <c r="X213" s="50"/>
      <c r="Y213" s="215">
        <f t="shared" si="72"/>
        <v>0</v>
      </c>
      <c r="Z213" s="120"/>
      <c r="AA213" s="96">
        <f t="shared" si="73"/>
        <v>0</v>
      </c>
      <c r="AB213" s="97">
        <f>IF(C213=2012, AA213/3,AA213)+Z213</f>
        <v>0</v>
      </c>
      <c r="AC213" s="22"/>
      <c r="AD213" s="50">
        <f>0</f>
        <v>0</v>
      </c>
      <c r="AE213" s="50">
        <f>0</f>
        <v>0</v>
      </c>
      <c r="AF213" s="50">
        <f>0</f>
        <v>0</v>
      </c>
      <c r="AG213" s="50"/>
      <c r="AH213" s="50">
        <f t="shared" ref="AH213:AH219" si="75">AV213</f>
        <v>0</v>
      </c>
      <c r="AI213" s="120"/>
      <c r="AJ213" s="96">
        <f t="shared" si="74"/>
        <v>0</v>
      </c>
      <c r="AK213" s="97">
        <f>IF(C213=2011, AJ213/3,AJ213)+AI213</f>
        <v>0</v>
      </c>
      <c r="AL213" s="22"/>
      <c r="AM213" s="13"/>
      <c r="AN213" s="13"/>
      <c r="AO213" s="13"/>
      <c r="AP213" s="13"/>
      <c r="AQ213" s="13">
        <f>0</f>
        <v>0</v>
      </c>
      <c r="AR213" s="13"/>
      <c r="AS213" s="13"/>
      <c r="AT213" s="95"/>
      <c r="AU213" s="96">
        <f t="shared" ref="AU213:AU219" si="76">SUM(AM213:AS213)</f>
        <v>0</v>
      </c>
      <c r="AV213" s="97">
        <f t="shared" ref="AV213:AV219" si="77">IF(C213=2010, AU213/3,AU213)+AT213</f>
        <v>0</v>
      </c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spans="1:67" x14ac:dyDescent="0.25">
      <c r="A214" s="51" t="s">
        <v>17</v>
      </c>
      <c r="B214" s="65" t="s">
        <v>63</v>
      </c>
      <c r="C214" s="52">
        <v>2009</v>
      </c>
      <c r="D214" s="1">
        <f t="shared" ref="D214:D277" si="78">Q214+F214+E214</f>
        <v>264.66666666666663</v>
      </c>
      <c r="E214" s="287">
        <f>30+15</f>
        <v>45</v>
      </c>
      <c r="F214" s="287"/>
      <c r="I214" s="261">
        <f>12+12</f>
        <v>24</v>
      </c>
      <c r="J214" s="246">
        <f>21+9</f>
        <v>30</v>
      </c>
      <c r="K214" s="241">
        <f>0+15</f>
        <v>15</v>
      </c>
      <c r="M214" s="215">
        <f>6</f>
        <v>6</v>
      </c>
      <c r="N214" s="267">
        <f t="shared" ref="N214:N277" si="79">AB214</f>
        <v>584</v>
      </c>
      <c r="O214" s="120"/>
      <c r="P214" s="96">
        <f t="shared" ref="P214:P277" si="80">I214+J214+K214+L214+M214+N214</f>
        <v>659</v>
      </c>
      <c r="Q214" s="97">
        <f t="shared" ref="Q214:Q277" si="81">IF(C214=2009, P214/3,P214)+O214</f>
        <v>219.66666666666666</v>
      </c>
      <c r="S214" s="201">
        <f>0</f>
        <v>0</v>
      </c>
      <c r="T214" s="192">
        <f>9+9</f>
        <v>18</v>
      </c>
      <c r="U214" s="183">
        <f>6+6</f>
        <v>12</v>
      </c>
      <c r="V214" s="168">
        <f>9+9+6</f>
        <v>24</v>
      </c>
      <c r="W214" s="50">
        <f>39+9</f>
        <v>48</v>
      </c>
      <c r="X214" s="50">
        <f>27+15+9</f>
        <v>51</v>
      </c>
      <c r="Y214" s="215">
        <f t="shared" si="72"/>
        <v>422</v>
      </c>
      <c r="Z214" s="120">
        <f>9</f>
        <v>9</v>
      </c>
      <c r="AA214" s="96">
        <f t="shared" si="73"/>
        <v>575</v>
      </c>
      <c r="AB214" s="97">
        <f>IF(C214=2012, AA214/3,AA214)+Z214</f>
        <v>584</v>
      </c>
      <c r="AC214" s="22"/>
      <c r="AD214" s="50">
        <f>12+6</f>
        <v>18</v>
      </c>
      <c r="AE214" s="50">
        <f>36</f>
        <v>36</v>
      </c>
      <c r="AF214" s="50">
        <f>162</f>
        <v>162</v>
      </c>
      <c r="AG214" s="50">
        <f>24</f>
        <v>24</v>
      </c>
      <c r="AH214" s="50">
        <f t="shared" si="75"/>
        <v>179</v>
      </c>
      <c r="AI214" s="120">
        <f>3</f>
        <v>3</v>
      </c>
      <c r="AJ214" s="96">
        <f t="shared" si="74"/>
        <v>419</v>
      </c>
      <c r="AK214" s="97">
        <f>IF(C214=2011, AJ214/3,AJ214)+AI214</f>
        <v>422</v>
      </c>
      <c r="AL214" s="22"/>
      <c r="AM214" s="287">
        <f>9</f>
        <v>9</v>
      </c>
      <c r="AN214" s="287">
        <f>15</f>
        <v>15</v>
      </c>
      <c r="AO214" s="287"/>
      <c r="AP214" s="287">
        <f>36</f>
        <v>36</v>
      </c>
      <c r="AQ214" s="287">
        <f>15</f>
        <v>15</v>
      </c>
      <c r="AR214" s="287">
        <f>51+6</f>
        <v>57</v>
      </c>
      <c r="AS214" s="287">
        <v>41</v>
      </c>
      <c r="AT214" s="95">
        <f>6</f>
        <v>6</v>
      </c>
      <c r="AU214" s="96">
        <f t="shared" si="76"/>
        <v>173</v>
      </c>
      <c r="AV214" s="97">
        <f t="shared" si="77"/>
        <v>179</v>
      </c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spans="1:67" s="27" customFormat="1" x14ac:dyDescent="0.25">
      <c r="A215" s="61" t="s">
        <v>150</v>
      </c>
      <c r="B215" s="85" t="s">
        <v>64</v>
      </c>
      <c r="C215" s="63">
        <v>2008</v>
      </c>
      <c r="D215" s="1">
        <f t="shared" si="78"/>
        <v>1.3333333333333333</v>
      </c>
      <c r="E215" s="283"/>
      <c r="F215" s="278"/>
      <c r="G215" s="120"/>
      <c r="H215" s="280"/>
      <c r="I215" s="261"/>
      <c r="J215" s="246"/>
      <c r="K215" s="241"/>
      <c r="L215" s="228"/>
      <c r="M215" s="215"/>
      <c r="N215" s="267">
        <f t="shared" si="79"/>
        <v>1.3333333333333333</v>
      </c>
      <c r="O215" s="152"/>
      <c r="P215" s="96">
        <f t="shared" si="80"/>
        <v>1.3333333333333333</v>
      </c>
      <c r="Q215" s="97">
        <f t="shared" si="81"/>
        <v>1.3333333333333333</v>
      </c>
      <c r="R215" s="215"/>
      <c r="S215" s="201"/>
      <c r="T215" s="192"/>
      <c r="U215" s="183"/>
      <c r="V215" s="287"/>
      <c r="W215" s="50"/>
      <c r="X215" s="50"/>
      <c r="Y215" s="215">
        <f t="shared" si="72"/>
        <v>4</v>
      </c>
      <c r="Z215" s="120"/>
      <c r="AA215" s="96">
        <f t="shared" si="73"/>
        <v>4</v>
      </c>
      <c r="AB215" s="97">
        <f t="shared" ref="AB215:AB222" si="82">IF(C215=2008, AA215/3,AA215)+Z215</f>
        <v>1.3333333333333333</v>
      </c>
      <c r="AC215" s="22"/>
      <c r="AD215" s="50"/>
      <c r="AE215" s="50"/>
      <c r="AF215" s="50"/>
      <c r="AG215" s="50"/>
      <c r="AH215" s="50">
        <f t="shared" si="75"/>
        <v>4</v>
      </c>
      <c r="AI215" s="120"/>
      <c r="AJ215" s="96">
        <f t="shared" si="74"/>
        <v>4</v>
      </c>
      <c r="AK215" s="97">
        <f>IF(C215=2011, AJ215/3,AJ215)+AI215</f>
        <v>4</v>
      </c>
      <c r="AL215" s="22"/>
      <c r="AM215" s="13"/>
      <c r="AN215" s="13">
        <v>4</v>
      </c>
      <c r="AO215" s="13"/>
      <c r="AP215" s="13"/>
      <c r="AQ215" s="13"/>
      <c r="AR215" s="13"/>
      <c r="AS215" s="13"/>
      <c r="AT215" s="95"/>
      <c r="AU215" s="96">
        <f t="shared" si="76"/>
        <v>4</v>
      </c>
      <c r="AV215" s="97">
        <f t="shared" si="77"/>
        <v>4</v>
      </c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spans="1:67" s="3" customFormat="1" x14ac:dyDescent="0.25">
      <c r="A216" s="51" t="s">
        <v>366</v>
      </c>
      <c r="B216" s="84" t="s">
        <v>7</v>
      </c>
      <c r="C216" s="52">
        <v>2007</v>
      </c>
      <c r="D216" s="1">
        <f t="shared" si="78"/>
        <v>38.666666666666664</v>
      </c>
      <c r="E216" s="154"/>
      <c r="F216" s="154"/>
      <c r="G216" s="120"/>
      <c r="H216" s="290"/>
      <c r="I216" s="287"/>
      <c r="J216" s="287"/>
      <c r="K216" s="287"/>
      <c r="L216" s="287"/>
      <c r="M216" s="287"/>
      <c r="N216" s="267">
        <f t="shared" si="79"/>
        <v>38.666666666666664</v>
      </c>
      <c r="O216" s="120"/>
      <c r="P216" s="96">
        <f t="shared" si="80"/>
        <v>38.666666666666664</v>
      </c>
      <c r="Q216" s="97">
        <f t="shared" si="81"/>
        <v>38.666666666666664</v>
      </c>
      <c r="R216" s="287"/>
      <c r="S216" s="201"/>
      <c r="T216" s="192"/>
      <c r="U216" s="183"/>
      <c r="V216" s="168"/>
      <c r="W216" s="50"/>
      <c r="X216" s="50"/>
      <c r="Y216" s="215">
        <f t="shared" si="72"/>
        <v>38.666666666666664</v>
      </c>
      <c r="Z216" s="120"/>
      <c r="AA216" s="96">
        <f t="shared" si="73"/>
        <v>38.666666666666664</v>
      </c>
      <c r="AB216" s="97">
        <f t="shared" si="82"/>
        <v>38.666666666666664</v>
      </c>
      <c r="AC216" s="22"/>
      <c r="AD216" s="50"/>
      <c r="AE216" s="50"/>
      <c r="AF216" s="50">
        <f>90</f>
        <v>90</v>
      </c>
      <c r="AG216" s="50"/>
      <c r="AH216" s="50">
        <f t="shared" si="75"/>
        <v>26</v>
      </c>
      <c r="AI216" s="120"/>
      <c r="AJ216" s="96">
        <f t="shared" si="74"/>
        <v>116</v>
      </c>
      <c r="AK216" s="97">
        <f>IF(C216=2007, AJ216/3,AJ216)+AI216</f>
        <v>38.666666666666664</v>
      </c>
      <c r="AL216" s="22"/>
      <c r="AM216" s="267"/>
      <c r="AN216" s="267"/>
      <c r="AO216" s="267"/>
      <c r="AP216" s="267">
        <f>0</f>
        <v>0</v>
      </c>
      <c r="AQ216" s="267"/>
      <c r="AR216" s="267"/>
      <c r="AS216" s="267">
        <f>26</f>
        <v>26</v>
      </c>
      <c r="AT216" s="95"/>
      <c r="AU216" s="96">
        <f t="shared" si="76"/>
        <v>26</v>
      </c>
      <c r="AV216" s="97">
        <f t="shared" si="77"/>
        <v>26</v>
      </c>
    </row>
    <row r="217" spans="1:67" s="3" customFormat="1" x14ac:dyDescent="0.25">
      <c r="A217" s="51" t="s">
        <v>367</v>
      </c>
      <c r="B217" s="84" t="s">
        <v>7</v>
      </c>
      <c r="C217" s="52">
        <v>2007</v>
      </c>
      <c r="D217" s="1">
        <f t="shared" si="78"/>
        <v>20.666666666666668</v>
      </c>
      <c r="E217" s="283"/>
      <c r="F217" s="278"/>
      <c r="G217" s="120"/>
      <c r="H217" s="13"/>
      <c r="I217" s="261"/>
      <c r="J217" s="246"/>
      <c r="K217" s="241"/>
      <c r="L217" s="228"/>
      <c r="M217" s="215"/>
      <c r="N217" s="267">
        <f t="shared" si="79"/>
        <v>20.666666666666668</v>
      </c>
      <c r="O217" s="152"/>
      <c r="P217" s="96">
        <f t="shared" si="80"/>
        <v>20.666666666666668</v>
      </c>
      <c r="Q217" s="97">
        <f t="shared" si="81"/>
        <v>20.666666666666668</v>
      </c>
      <c r="R217" s="215"/>
      <c r="S217" s="201"/>
      <c r="T217" s="192"/>
      <c r="U217" s="183"/>
      <c r="V217" s="168"/>
      <c r="W217" s="50"/>
      <c r="X217" s="50"/>
      <c r="Y217" s="215">
        <f t="shared" si="72"/>
        <v>20.666666666666668</v>
      </c>
      <c r="Z217" s="120"/>
      <c r="AA217" s="96">
        <f t="shared" si="73"/>
        <v>20.666666666666668</v>
      </c>
      <c r="AB217" s="97">
        <f t="shared" si="82"/>
        <v>20.666666666666668</v>
      </c>
      <c r="AC217" s="22"/>
      <c r="AD217" s="50"/>
      <c r="AE217" s="50"/>
      <c r="AF217" s="50">
        <f>39</f>
        <v>39</v>
      </c>
      <c r="AG217" s="50"/>
      <c r="AH217" s="50">
        <f t="shared" si="75"/>
        <v>23</v>
      </c>
      <c r="AI217" s="120"/>
      <c r="AJ217" s="96">
        <f t="shared" si="74"/>
        <v>62</v>
      </c>
      <c r="AK217" s="97">
        <f>IF(C217=2007, AJ217/3,AJ217)+AI217</f>
        <v>20.666666666666668</v>
      </c>
      <c r="AL217" s="22"/>
      <c r="AM217" s="287"/>
      <c r="AN217" s="287"/>
      <c r="AO217" s="287"/>
      <c r="AP217" s="287">
        <f>0</f>
        <v>0</v>
      </c>
      <c r="AQ217" s="287"/>
      <c r="AR217" s="287"/>
      <c r="AS217" s="287">
        <f>23</f>
        <v>23</v>
      </c>
      <c r="AT217" s="95"/>
      <c r="AU217" s="96">
        <f t="shared" si="76"/>
        <v>23</v>
      </c>
      <c r="AV217" s="97">
        <f t="shared" si="77"/>
        <v>23</v>
      </c>
    </row>
    <row r="218" spans="1:67" s="3" customFormat="1" x14ac:dyDescent="0.25">
      <c r="A218" s="60" t="s">
        <v>356</v>
      </c>
      <c r="B218" s="65" t="s">
        <v>0</v>
      </c>
      <c r="C218" s="62">
        <v>2008</v>
      </c>
      <c r="D218" s="1">
        <f t="shared" si="78"/>
        <v>80</v>
      </c>
      <c r="E218" s="108"/>
      <c r="F218" s="108"/>
      <c r="G218" s="120"/>
      <c r="H218" s="101"/>
      <c r="I218" s="261"/>
      <c r="J218" s="246"/>
      <c r="K218" s="241"/>
      <c r="L218" s="228"/>
      <c r="M218" s="215"/>
      <c r="N218" s="267">
        <f t="shared" si="79"/>
        <v>80</v>
      </c>
      <c r="O218" s="152"/>
      <c r="P218" s="96">
        <f t="shared" si="80"/>
        <v>80</v>
      </c>
      <c r="Q218" s="97">
        <f t="shared" si="81"/>
        <v>80</v>
      </c>
      <c r="R218" s="215"/>
      <c r="S218" s="201"/>
      <c r="T218" s="192"/>
      <c r="U218" s="183"/>
      <c r="V218" s="168"/>
      <c r="W218" s="50">
        <f>6</f>
        <v>6</v>
      </c>
      <c r="X218" s="50">
        <f>3</f>
        <v>3</v>
      </c>
      <c r="Y218" s="215">
        <f t="shared" si="72"/>
        <v>222</v>
      </c>
      <c r="Z218" s="120">
        <f>3</f>
        <v>3</v>
      </c>
      <c r="AA218" s="96">
        <f t="shared" si="73"/>
        <v>231</v>
      </c>
      <c r="AB218" s="97">
        <f t="shared" si="82"/>
        <v>80</v>
      </c>
      <c r="AC218" s="22"/>
      <c r="AD218" s="50"/>
      <c r="AE218" s="50"/>
      <c r="AF218" s="50"/>
      <c r="AG218" s="50"/>
      <c r="AH218" s="50">
        <f t="shared" si="75"/>
        <v>222</v>
      </c>
      <c r="AI218" s="120"/>
      <c r="AJ218" s="96">
        <f t="shared" si="74"/>
        <v>222</v>
      </c>
      <c r="AK218" s="97">
        <f>IF(C218=2011, AJ218/3,AJ218)+AI218</f>
        <v>222</v>
      </c>
      <c r="AL218" s="22"/>
      <c r="AM218" s="13"/>
      <c r="AN218" s="13"/>
      <c r="AO218" s="13"/>
      <c r="AP218" s="13">
        <f>24</f>
        <v>24</v>
      </c>
      <c r="AQ218" s="13"/>
      <c r="AR218" s="13"/>
      <c r="AS218" s="13">
        <v>198</v>
      </c>
      <c r="AT218" s="95"/>
      <c r="AU218" s="96">
        <f t="shared" si="76"/>
        <v>222</v>
      </c>
      <c r="AV218" s="97">
        <f t="shared" si="77"/>
        <v>222</v>
      </c>
    </row>
    <row r="219" spans="1:67" s="3" customFormat="1" x14ac:dyDescent="0.25">
      <c r="A219" s="60" t="s">
        <v>172</v>
      </c>
      <c r="B219" s="85" t="s">
        <v>64</v>
      </c>
      <c r="C219" s="62">
        <v>2008</v>
      </c>
      <c r="D219" s="1">
        <f t="shared" si="78"/>
        <v>257.33333333333337</v>
      </c>
      <c r="E219" s="154"/>
      <c r="F219" s="154"/>
      <c r="G219" s="120"/>
      <c r="H219" s="280"/>
      <c r="I219" s="261">
        <f>27+3</f>
        <v>30</v>
      </c>
      <c r="J219" s="246">
        <f>30+12</f>
        <v>42</v>
      </c>
      <c r="K219" s="241">
        <f>15+3</f>
        <v>18</v>
      </c>
      <c r="L219" s="228"/>
      <c r="M219" s="215"/>
      <c r="N219" s="267">
        <f t="shared" si="79"/>
        <v>167.33333333333334</v>
      </c>
      <c r="O219" s="152"/>
      <c r="P219" s="96">
        <f t="shared" si="80"/>
        <v>257.33333333333337</v>
      </c>
      <c r="Q219" s="97">
        <f t="shared" si="81"/>
        <v>257.33333333333337</v>
      </c>
      <c r="R219" s="215"/>
      <c r="S219" s="201"/>
      <c r="T219" s="192">
        <f>18</f>
        <v>18</v>
      </c>
      <c r="U219" s="183"/>
      <c r="V219" s="168"/>
      <c r="W219" s="50">
        <f>30+3</f>
        <v>33</v>
      </c>
      <c r="X219" s="50">
        <f>36</f>
        <v>36</v>
      </c>
      <c r="Y219" s="215">
        <f t="shared" si="72"/>
        <v>325</v>
      </c>
      <c r="Z219" s="120">
        <f>3+3+6+15+3</f>
        <v>30</v>
      </c>
      <c r="AA219" s="96">
        <f t="shared" si="73"/>
        <v>412</v>
      </c>
      <c r="AB219" s="97">
        <f t="shared" si="82"/>
        <v>167.33333333333334</v>
      </c>
      <c r="AC219" s="22"/>
      <c r="AD219" s="50"/>
      <c r="AE219" s="50">
        <f>6</f>
        <v>6</v>
      </c>
      <c r="AF219" s="50">
        <f>231</f>
        <v>231</v>
      </c>
      <c r="AG219" s="50">
        <f>9+6</f>
        <v>15</v>
      </c>
      <c r="AH219" s="50">
        <f t="shared" si="75"/>
        <v>61</v>
      </c>
      <c r="AI219" s="120">
        <f>9+3</f>
        <v>12</v>
      </c>
      <c r="AJ219" s="96">
        <f t="shared" si="74"/>
        <v>313</v>
      </c>
      <c r="AK219" s="97">
        <f>IF(C219=2011, AJ219/3,AJ219)+AI219</f>
        <v>325</v>
      </c>
      <c r="AL219" s="22"/>
      <c r="AM219" s="13"/>
      <c r="AN219" s="13">
        <v>51</v>
      </c>
      <c r="AO219" s="13"/>
      <c r="AP219" s="13"/>
      <c r="AQ219" s="13"/>
      <c r="AR219" s="13"/>
      <c r="AS219" s="13">
        <f>10</f>
        <v>10</v>
      </c>
      <c r="AT219" s="95"/>
      <c r="AU219" s="96">
        <f t="shared" si="76"/>
        <v>61</v>
      </c>
      <c r="AV219" s="97">
        <f t="shared" si="77"/>
        <v>61</v>
      </c>
    </row>
    <row r="220" spans="1:67" x14ac:dyDescent="0.25">
      <c r="A220" s="60" t="s">
        <v>803</v>
      </c>
      <c r="B220" s="65" t="s">
        <v>583</v>
      </c>
      <c r="C220" s="62">
        <v>2008</v>
      </c>
      <c r="D220" s="1">
        <f t="shared" si="78"/>
        <v>4</v>
      </c>
      <c r="H220" s="280"/>
      <c r="N220" s="267">
        <f t="shared" si="79"/>
        <v>4</v>
      </c>
      <c r="O220" s="120"/>
      <c r="P220" s="96">
        <f t="shared" si="80"/>
        <v>4</v>
      </c>
      <c r="Q220" s="97">
        <f t="shared" si="81"/>
        <v>4</v>
      </c>
      <c r="S220" s="201"/>
      <c r="T220" s="192"/>
      <c r="U220" s="183"/>
      <c r="V220" s="168"/>
      <c r="W220" s="50"/>
      <c r="X220" s="50">
        <f>12</f>
        <v>12</v>
      </c>
      <c r="Y220" s="215">
        <f t="shared" si="72"/>
        <v>0</v>
      </c>
      <c r="Z220" s="120"/>
      <c r="AA220" s="96">
        <f t="shared" si="73"/>
        <v>12</v>
      </c>
      <c r="AB220" s="97">
        <f t="shared" si="82"/>
        <v>4</v>
      </c>
      <c r="AC220" s="22"/>
      <c r="AD220" s="50"/>
      <c r="AE220" s="50"/>
      <c r="AF220" s="50"/>
      <c r="AG220" s="50"/>
      <c r="AH220" s="50"/>
      <c r="AI220" s="120"/>
      <c r="AJ220" s="96"/>
      <c r="AK220" s="97"/>
      <c r="AL220" s="22"/>
      <c r="AM220" s="13"/>
      <c r="AN220" s="13"/>
      <c r="AO220" s="13"/>
      <c r="AP220" s="13"/>
      <c r="AQ220" s="13"/>
      <c r="AR220" s="13"/>
      <c r="AS220" s="13"/>
      <c r="AT220" s="95"/>
      <c r="AU220" s="96"/>
      <c r="AV220" s="97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spans="1:67" x14ac:dyDescent="0.25">
      <c r="A221" s="60" t="s">
        <v>655</v>
      </c>
      <c r="B221" s="85" t="s">
        <v>7</v>
      </c>
      <c r="C221" s="62">
        <v>2008</v>
      </c>
      <c r="D221" s="1">
        <f t="shared" si="78"/>
        <v>99.666666666666671</v>
      </c>
      <c r="N221" s="267">
        <f t="shared" si="79"/>
        <v>99.666666666666671</v>
      </c>
      <c r="O221" s="120"/>
      <c r="P221" s="96">
        <f t="shared" si="80"/>
        <v>99.666666666666671</v>
      </c>
      <c r="Q221" s="97">
        <f t="shared" si="81"/>
        <v>99.666666666666671</v>
      </c>
      <c r="S221" s="215"/>
      <c r="T221" s="215"/>
      <c r="U221" s="215"/>
      <c r="V221" s="215"/>
      <c r="W221" s="215"/>
      <c r="X221" s="215"/>
      <c r="Y221" s="215">
        <f t="shared" si="72"/>
        <v>299</v>
      </c>
      <c r="Z221" s="120"/>
      <c r="AA221" s="96">
        <f t="shared" si="73"/>
        <v>299</v>
      </c>
      <c r="AB221" s="97">
        <f t="shared" si="82"/>
        <v>99.666666666666671</v>
      </c>
      <c r="AC221" s="22"/>
      <c r="AD221" s="215"/>
      <c r="AE221" s="215"/>
      <c r="AF221" s="215">
        <f>195</f>
        <v>195</v>
      </c>
      <c r="AG221" s="215"/>
      <c r="AH221" s="215">
        <v>104</v>
      </c>
      <c r="AI221" s="120"/>
      <c r="AJ221" s="96">
        <f>SUM(AD221:AH221)</f>
        <v>299</v>
      </c>
      <c r="AK221" s="97">
        <f>IF(C221=2011, AJ221/3,AJ221)+AI221</f>
        <v>299</v>
      </c>
      <c r="AL221" s="22"/>
      <c r="AM221" s="13"/>
      <c r="AN221" s="13"/>
      <c r="AO221" s="13"/>
      <c r="AP221" s="13"/>
      <c r="AQ221" s="13"/>
      <c r="AR221" s="13"/>
      <c r="AS221" s="13"/>
      <c r="AT221" s="95"/>
      <c r="AU221" s="96"/>
      <c r="AV221" s="97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spans="1:67" s="3" customFormat="1" x14ac:dyDescent="0.25">
      <c r="A222" s="51" t="s">
        <v>51</v>
      </c>
      <c r="B222" s="84" t="s">
        <v>23</v>
      </c>
      <c r="C222" s="52">
        <v>2007</v>
      </c>
      <c r="D222" s="1">
        <f t="shared" si="78"/>
        <v>90.333333333333329</v>
      </c>
      <c r="E222" s="283"/>
      <c r="F222" s="278"/>
      <c r="G222" s="120"/>
      <c r="H222" s="13"/>
      <c r="I222" s="261"/>
      <c r="J222" s="246"/>
      <c r="K222" s="241"/>
      <c r="L222" s="228"/>
      <c r="M222" s="215"/>
      <c r="N222" s="267">
        <f t="shared" si="79"/>
        <v>90.333333333333329</v>
      </c>
      <c r="O222" s="152"/>
      <c r="P222" s="96">
        <f t="shared" si="80"/>
        <v>90.333333333333329</v>
      </c>
      <c r="Q222" s="97">
        <f t="shared" si="81"/>
        <v>90.333333333333329</v>
      </c>
      <c r="R222" s="215"/>
      <c r="S222" s="201"/>
      <c r="T222" s="192">
        <f>0</f>
        <v>0</v>
      </c>
      <c r="U222" s="183"/>
      <c r="V222" s="168"/>
      <c r="W222" s="50"/>
      <c r="X222" s="50"/>
      <c r="Y222" s="215">
        <f t="shared" si="72"/>
        <v>90.333333333333329</v>
      </c>
      <c r="Z222" s="120"/>
      <c r="AA222" s="96">
        <f t="shared" si="73"/>
        <v>90.333333333333329</v>
      </c>
      <c r="AB222" s="97">
        <f t="shared" si="82"/>
        <v>90.333333333333329</v>
      </c>
      <c r="AC222" s="22"/>
      <c r="AD222" s="50"/>
      <c r="AE222" s="50"/>
      <c r="AF222" s="50">
        <f>22+93</f>
        <v>115</v>
      </c>
      <c r="AG222" s="50"/>
      <c r="AH222" s="50">
        <f>AV222</f>
        <v>156</v>
      </c>
      <c r="AI222" s="120"/>
      <c r="AJ222" s="96">
        <f>SUM(AD222:AH222)</f>
        <v>271</v>
      </c>
      <c r="AK222" s="97">
        <f>IF(C222=2007, AJ222/3,AJ222)+AI222</f>
        <v>90.333333333333329</v>
      </c>
      <c r="AL222" s="22"/>
      <c r="AM222" s="287">
        <f>0</f>
        <v>0</v>
      </c>
      <c r="AN222" s="287"/>
      <c r="AO222" s="287"/>
      <c r="AP222" s="287"/>
      <c r="AQ222" s="287"/>
      <c r="AR222" s="287"/>
      <c r="AS222" s="287">
        <v>156</v>
      </c>
      <c r="AT222" s="95"/>
      <c r="AU222" s="96">
        <f>SUM(AM222:AS222)</f>
        <v>156</v>
      </c>
      <c r="AV222" s="97">
        <f>IF(C222=2010, AU222/3,AU222)+AT222</f>
        <v>156</v>
      </c>
    </row>
    <row r="223" spans="1:67" s="17" customFormat="1" x14ac:dyDescent="0.25">
      <c r="A223" s="11" t="s">
        <v>1077</v>
      </c>
      <c r="B223" s="60" t="s">
        <v>994</v>
      </c>
      <c r="C223" s="62">
        <v>2009</v>
      </c>
      <c r="D223" s="1">
        <f t="shared" si="78"/>
        <v>1</v>
      </c>
      <c r="E223" s="108"/>
      <c r="F223" s="108"/>
      <c r="G223" s="120"/>
      <c r="H223" s="101"/>
      <c r="I223" s="261"/>
      <c r="J223" s="246"/>
      <c r="K223" s="241"/>
      <c r="L223" s="228"/>
      <c r="M223" s="215">
        <f>3</f>
        <v>3</v>
      </c>
      <c r="N223" s="267">
        <f t="shared" si="79"/>
        <v>0</v>
      </c>
      <c r="O223" s="120"/>
      <c r="P223" s="96">
        <f t="shared" si="80"/>
        <v>3</v>
      </c>
      <c r="Q223" s="97">
        <f t="shared" si="81"/>
        <v>1</v>
      </c>
      <c r="R223" s="215"/>
      <c r="S223" s="201"/>
      <c r="T223" s="192"/>
      <c r="U223" s="183"/>
      <c r="V223" s="168"/>
      <c r="W223" s="50"/>
      <c r="X223" s="50"/>
      <c r="Y223" s="215"/>
      <c r="Z223" s="120"/>
      <c r="AA223" s="96"/>
      <c r="AB223" s="97"/>
      <c r="AC223" s="22"/>
      <c r="AD223" s="50"/>
      <c r="AE223" s="50"/>
      <c r="AF223" s="50"/>
      <c r="AG223" s="50"/>
      <c r="AH223" s="50"/>
      <c r="AI223" s="120"/>
      <c r="AJ223" s="96"/>
      <c r="AK223" s="97"/>
      <c r="AL223" s="22"/>
      <c r="AM223" s="41"/>
      <c r="AN223" s="41"/>
      <c r="AO223" s="41"/>
      <c r="AP223" s="41"/>
      <c r="AQ223" s="41"/>
      <c r="AR223" s="41"/>
      <c r="AS223" s="13"/>
      <c r="AT223" s="95"/>
      <c r="AU223" s="96"/>
      <c r="AV223" s="97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spans="1:67" s="17" customFormat="1" x14ac:dyDescent="0.25">
      <c r="A224" s="60" t="s">
        <v>156</v>
      </c>
      <c r="B224" s="65" t="s">
        <v>111</v>
      </c>
      <c r="C224" s="62">
        <v>2009</v>
      </c>
      <c r="D224" s="1">
        <f t="shared" si="78"/>
        <v>1.3333333333333333</v>
      </c>
      <c r="E224" s="283"/>
      <c r="F224" s="278"/>
      <c r="G224" s="120"/>
      <c r="H224" s="13"/>
      <c r="I224" s="261"/>
      <c r="J224" s="246"/>
      <c r="K224" s="241"/>
      <c r="L224" s="228"/>
      <c r="M224" s="215"/>
      <c r="N224" s="267">
        <f t="shared" si="79"/>
        <v>4</v>
      </c>
      <c r="O224" s="120"/>
      <c r="P224" s="96">
        <f t="shared" si="80"/>
        <v>4</v>
      </c>
      <c r="Q224" s="97">
        <f t="shared" si="81"/>
        <v>1.3333333333333333</v>
      </c>
      <c r="R224" s="215"/>
      <c r="S224" s="201"/>
      <c r="T224" s="192"/>
      <c r="U224" s="183"/>
      <c r="V224" s="168"/>
      <c r="W224" s="50"/>
      <c r="X224" s="50"/>
      <c r="Y224" s="215">
        <f>AK224</f>
        <v>4</v>
      </c>
      <c r="Z224" s="120"/>
      <c r="AA224" s="96">
        <f>S224+T224+U224+V224+W224+X224+Y224</f>
        <v>4</v>
      </c>
      <c r="AB224" s="97">
        <f>IF(C224=2012, AA224/3,AA224)+Z224</f>
        <v>4</v>
      </c>
      <c r="AC224" s="22"/>
      <c r="AD224" s="50"/>
      <c r="AE224" s="50"/>
      <c r="AF224" s="50"/>
      <c r="AG224" s="50"/>
      <c r="AH224" s="50">
        <f>AV224</f>
        <v>4</v>
      </c>
      <c r="AI224" s="120"/>
      <c r="AJ224" s="96">
        <f>SUM(AD224:AH224)</f>
        <v>4</v>
      </c>
      <c r="AK224" s="97">
        <f>IF(C224=2011, AJ224/3,AJ224)+AI224</f>
        <v>4</v>
      </c>
      <c r="AL224" s="22"/>
      <c r="AM224" s="13"/>
      <c r="AN224" s="13">
        <v>4</v>
      </c>
      <c r="AO224" s="13"/>
      <c r="AP224" s="13"/>
      <c r="AQ224" s="13">
        <f>0</f>
        <v>0</v>
      </c>
      <c r="AR224" s="13"/>
      <c r="AS224" s="13"/>
      <c r="AT224" s="95"/>
      <c r="AU224" s="96">
        <f>SUM(AM224:AS224)</f>
        <v>4</v>
      </c>
      <c r="AV224" s="97">
        <f>IF(C224=2010, AU224/3,AU224)+AT224</f>
        <v>4</v>
      </c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spans="1:67" s="3" customFormat="1" x14ac:dyDescent="0.25">
      <c r="A225" s="11" t="s">
        <v>790</v>
      </c>
      <c r="B225" s="60" t="s">
        <v>64</v>
      </c>
      <c r="C225" s="62">
        <v>2007</v>
      </c>
      <c r="D225" s="1">
        <f t="shared" si="78"/>
        <v>21</v>
      </c>
      <c r="E225" s="283"/>
      <c r="F225" s="278"/>
      <c r="G225" s="120"/>
      <c r="H225" s="280"/>
      <c r="I225" s="261"/>
      <c r="J225" s="246"/>
      <c r="K225" s="241"/>
      <c r="L225" s="228"/>
      <c r="M225" s="215"/>
      <c r="N225" s="267">
        <f t="shared" si="79"/>
        <v>21</v>
      </c>
      <c r="O225" s="120"/>
      <c r="P225" s="96">
        <f t="shared" si="80"/>
        <v>21</v>
      </c>
      <c r="Q225" s="97">
        <f t="shared" si="81"/>
        <v>21</v>
      </c>
      <c r="R225" s="215"/>
      <c r="S225" s="201"/>
      <c r="T225" s="192"/>
      <c r="U225" s="183"/>
      <c r="V225" s="168"/>
      <c r="W225" s="50">
        <f>3</f>
        <v>3</v>
      </c>
      <c r="X225" s="50">
        <f>12+6</f>
        <v>18</v>
      </c>
      <c r="Y225" s="215">
        <f>AK225</f>
        <v>0</v>
      </c>
      <c r="Z225" s="120"/>
      <c r="AA225" s="96">
        <f>S225+T225+U225+V225+W225+X225+Y225</f>
        <v>21</v>
      </c>
      <c r="AB225" s="97">
        <f>IF(C225=2008, AA225/3,AA225)+Z225</f>
        <v>21</v>
      </c>
      <c r="AC225" s="22"/>
      <c r="AD225" s="50"/>
      <c r="AE225" s="50"/>
      <c r="AF225" s="50"/>
      <c r="AG225" s="50"/>
      <c r="AH225" s="50"/>
      <c r="AI225" s="120"/>
      <c r="AJ225" s="96"/>
      <c r="AK225" s="97"/>
      <c r="AL225" s="22"/>
      <c r="AM225" s="41"/>
      <c r="AN225" s="41"/>
      <c r="AO225" s="41"/>
      <c r="AP225" s="41"/>
      <c r="AQ225" s="41"/>
      <c r="AR225" s="41"/>
      <c r="AS225" s="13"/>
      <c r="AT225" s="95"/>
      <c r="AU225" s="96"/>
      <c r="AV225" s="97"/>
    </row>
    <row r="226" spans="1:67" s="3" customFormat="1" x14ac:dyDescent="0.25">
      <c r="A226" s="60" t="s">
        <v>580</v>
      </c>
      <c r="B226" s="65" t="s">
        <v>547</v>
      </c>
      <c r="C226" s="62">
        <v>2007</v>
      </c>
      <c r="D226" s="1">
        <f t="shared" si="78"/>
        <v>6</v>
      </c>
      <c r="E226" s="154"/>
      <c r="F226" s="154"/>
      <c r="G226" s="120"/>
      <c r="H226" s="280"/>
      <c r="I226" s="261"/>
      <c r="J226" s="246"/>
      <c r="K226" s="241"/>
      <c r="L226" s="228"/>
      <c r="M226" s="215"/>
      <c r="N226" s="267">
        <f t="shared" si="79"/>
        <v>6</v>
      </c>
      <c r="O226" s="152"/>
      <c r="P226" s="96">
        <f t="shared" si="80"/>
        <v>6</v>
      </c>
      <c r="Q226" s="97">
        <f t="shared" si="81"/>
        <v>6</v>
      </c>
      <c r="R226" s="215"/>
      <c r="S226" s="201"/>
      <c r="T226" s="192"/>
      <c r="U226" s="183"/>
      <c r="V226" s="168"/>
      <c r="W226" s="50"/>
      <c r="X226" s="50"/>
      <c r="Y226" s="215">
        <f>AK226</f>
        <v>6</v>
      </c>
      <c r="Z226" s="120"/>
      <c r="AA226" s="96">
        <f>S226+T226+U226+V226+W226+X226+Y226</f>
        <v>6</v>
      </c>
      <c r="AB226" s="97">
        <f>IF(C226=2008, AA226/3,AA226)+Z226</f>
        <v>6</v>
      </c>
      <c r="AC226" s="22"/>
      <c r="AD226" s="50"/>
      <c r="AE226" s="50">
        <f>0+12</f>
        <v>12</v>
      </c>
      <c r="AF226" s="50"/>
      <c r="AG226" s="50">
        <f>3+3</f>
        <v>6</v>
      </c>
      <c r="AH226" s="50"/>
      <c r="AI226" s="120"/>
      <c r="AJ226" s="96">
        <f>SUM(AD226:AH226)</f>
        <v>18</v>
      </c>
      <c r="AK226" s="97">
        <f>IF(C226=2007, AJ226/3,AJ226)+AI226</f>
        <v>6</v>
      </c>
      <c r="AL226" s="22"/>
      <c r="AM226" s="13"/>
      <c r="AN226" s="13"/>
      <c r="AO226" s="13"/>
      <c r="AP226" s="13"/>
      <c r="AQ226" s="13"/>
      <c r="AR226" s="13"/>
      <c r="AS226" s="13"/>
      <c r="AT226" s="95"/>
      <c r="AU226" s="96"/>
      <c r="AV226" s="97"/>
    </row>
    <row r="227" spans="1:67" s="17" customFormat="1" x14ac:dyDescent="0.25">
      <c r="A227" s="60" t="s">
        <v>574</v>
      </c>
      <c r="B227" s="65" t="s">
        <v>63</v>
      </c>
      <c r="C227" s="62">
        <v>2009</v>
      </c>
      <c r="D227" s="1">
        <f t="shared" si="78"/>
        <v>19</v>
      </c>
      <c r="E227" s="283"/>
      <c r="F227" s="278"/>
      <c r="G227" s="120"/>
      <c r="H227" s="280"/>
      <c r="I227" s="108"/>
      <c r="J227" s="108"/>
      <c r="K227" s="108"/>
      <c r="L227" s="108"/>
      <c r="M227" s="108"/>
      <c r="N227" s="267">
        <f t="shared" si="79"/>
        <v>57</v>
      </c>
      <c r="O227" s="120"/>
      <c r="P227" s="96">
        <f t="shared" si="80"/>
        <v>57</v>
      </c>
      <c r="Q227" s="97">
        <f t="shared" si="81"/>
        <v>19</v>
      </c>
      <c r="R227" s="108"/>
      <c r="S227" s="201"/>
      <c r="T227" s="192"/>
      <c r="U227" s="183">
        <f>0</f>
        <v>0</v>
      </c>
      <c r="V227" s="168">
        <f>0+6</f>
        <v>6</v>
      </c>
      <c r="W227" s="50">
        <f>0+6</f>
        <v>6</v>
      </c>
      <c r="X227" s="50">
        <f>0+9</f>
        <v>9</v>
      </c>
      <c r="Y227" s="215">
        <f>AK227</f>
        <v>36</v>
      </c>
      <c r="Z227" s="120"/>
      <c r="AA227" s="96">
        <f>S227+T227+U227+V227+W227+X227+Y227</f>
        <v>57</v>
      </c>
      <c r="AB227" s="97">
        <f>IF(C227=2012, AA227/3,AA227)+Z227</f>
        <v>57</v>
      </c>
      <c r="AC227" s="22"/>
      <c r="AD227" s="50">
        <f>14</f>
        <v>14</v>
      </c>
      <c r="AE227" s="50">
        <f>17+3</f>
        <v>20</v>
      </c>
      <c r="AF227" s="50">
        <f>0+2</f>
        <v>2</v>
      </c>
      <c r="AG227" s="50">
        <f>0</f>
        <v>0</v>
      </c>
      <c r="AH227" s="50"/>
      <c r="AI227" s="120"/>
      <c r="AJ227" s="96">
        <f>SUM(AD227:AH227)</f>
        <v>36</v>
      </c>
      <c r="AK227" s="97">
        <f>IF(C227=2011, AJ227/3,AJ227)+AI227</f>
        <v>36</v>
      </c>
      <c r="AL227" s="22"/>
      <c r="AM227" s="13"/>
      <c r="AN227" s="13"/>
      <c r="AO227" s="13"/>
      <c r="AP227" s="13"/>
      <c r="AQ227" s="13"/>
      <c r="AR227" s="13"/>
      <c r="AS227" s="13"/>
      <c r="AT227" s="95"/>
      <c r="AU227" s="96"/>
      <c r="AV227" s="97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spans="1:67" s="3" customFormat="1" x14ac:dyDescent="0.25">
      <c r="A228" s="60" t="s">
        <v>208</v>
      </c>
      <c r="B228" s="65" t="s">
        <v>111</v>
      </c>
      <c r="C228" s="62">
        <v>2003</v>
      </c>
      <c r="D228" s="1">
        <f t="shared" si="78"/>
        <v>53</v>
      </c>
      <c r="E228" s="283"/>
      <c r="F228" s="278"/>
      <c r="G228" s="120"/>
      <c r="H228" s="13"/>
      <c r="I228" s="261"/>
      <c r="J228" s="246"/>
      <c r="K228" s="241"/>
      <c r="L228" s="228"/>
      <c r="M228" s="215"/>
      <c r="N228" s="267">
        <f t="shared" si="79"/>
        <v>53</v>
      </c>
      <c r="O228" s="120"/>
      <c r="P228" s="96">
        <f t="shared" si="80"/>
        <v>53</v>
      </c>
      <c r="Q228" s="97">
        <f t="shared" si="81"/>
        <v>53</v>
      </c>
      <c r="R228" s="215"/>
      <c r="S228" s="201"/>
      <c r="T228" s="192"/>
      <c r="U228" s="183"/>
      <c r="V228" s="168"/>
      <c r="W228" s="50"/>
      <c r="X228" s="50"/>
      <c r="Y228" s="215">
        <f>AK228</f>
        <v>53</v>
      </c>
      <c r="Z228" s="120"/>
      <c r="AA228" s="96">
        <f>S228+T228+U228+V228+W228+X228+Y228</f>
        <v>53</v>
      </c>
      <c r="AB228" s="97">
        <f>IF(C228=2008, AA228/3,AA228)+Z228</f>
        <v>53</v>
      </c>
      <c r="AC228" s="22"/>
      <c r="AD228" s="50"/>
      <c r="AE228" s="50"/>
      <c r="AF228" s="50"/>
      <c r="AG228" s="50"/>
      <c r="AH228" s="50">
        <f>AV228</f>
        <v>53</v>
      </c>
      <c r="AI228" s="120"/>
      <c r="AJ228" s="96">
        <f>SUM(AD228:AH228)</f>
        <v>53</v>
      </c>
      <c r="AK228" s="97">
        <f>IF(C228=2007, AJ228/3,AJ228)+AI228</f>
        <v>53</v>
      </c>
      <c r="AL228" s="22"/>
      <c r="AM228" s="26"/>
      <c r="AN228" s="26">
        <v>5</v>
      </c>
      <c r="AO228" s="26"/>
      <c r="AP228" s="26">
        <f>6</f>
        <v>6</v>
      </c>
      <c r="AQ228" s="26"/>
      <c r="AR228" s="26"/>
      <c r="AS228" s="26">
        <f>42</f>
        <v>42</v>
      </c>
      <c r="AT228" s="95"/>
      <c r="AU228" s="96">
        <f>SUM(AM228:AS228)</f>
        <v>53</v>
      </c>
      <c r="AV228" s="97">
        <f>IF(C228=2006, AU228/3,AU228)+AT228</f>
        <v>53</v>
      </c>
    </row>
    <row r="229" spans="1:67" s="52" customFormat="1" x14ac:dyDescent="0.25">
      <c r="A229" s="11" t="s">
        <v>1169</v>
      </c>
      <c r="B229" s="87" t="s">
        <v>87</v>
      </c>
      <c r="C229" s="3">
        <v>2009</v>
      </c>
      <c r="D229" s="1">
        <f t="shared" si="78"/>
        <v>7</v>
      </c>
      <c r="E229" s="108"/>
      <c r="F229" s="108"/>
      <c r="G229" s="120"/>
      <c r="H229" s="101"/>
      <c r="I229" s="261"/>
      <c r="J229" s="246"/>
      <c r="K229" s="241"/>
      <c r="L229" s="228">
        <v>21</v>
      </c>
      <c r="M229" s="215"/>
      <c r="N229" s="267">
        <f t="shared" si="79"/>
        <v>0</v>
      </c>
      <c r="O229" s="120"/>
      <c r="P229" s="96">
        <f t="shared" si="80"/>
        <v>21</v>
      </c>
      <c r="Q229" s="97">
        <f t="shared" si="81"/>
        <v>7</v>
      </c>
      <c r="R229" s="215"/>
      <c r="S229" s="154"/>
      <c r="T229" s="154"/>
      <c r="U229" s="154"/>
      <c r="V229" s="154"/>
      <c r="W229" s="154"/>
      <c r="X229" s="154"/>
      <c r="Y229" s="154"/>
      <c r="Z229" s="13"/>
      <c r="AA229" s="3"/>
      <c r="AB229" s="3"/>
      <c r="AC229" s="13"/>
      <c r="AD229" s="13"/>
      <c r="AE229" s="13"/>
      <c r="AF229" s="13"/>
      <c r="AG229" s="13"/>
      <c r="AH229" s="13"/>
      <c r="AI229" s="13"/>
      <c r="AJ229" s="3"/>
      <c r="AK229" s="3"/>
      <c r="AL229" s="13"/>
      <c r="AM229" s="13"/>
      <c r="AN229" s="13"/>
      <c r="AO229" s="13"/>
      <c r="AP229" s="13"/>
      <c r="AQ229" s="13"/>
      <c r="AR229" s="13"/>
      <c r="AS229" s="1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spans="1:67" s="52" customFormat="1" x14ac:dyDescent="0.25">
      <c r="A230" s="51" t="s">
        <v>49</v>
      </c>
      <c r="B230" s="84" t="s">
        <v>23</v>
      </c>
      <c r="C230" s="52">
        <v>2009</v>
      </c>
      <c r="D230" s="1">
        <f t="shared" si="78"/>
        <v>68</v>
      </c>
      <c r="E230" s="283"/>
      <c r="F230" s="278"/>
      <c r="G230" s="120"/>
      <c r="H230" s="290"/>
      <c r="I230" s="287"/>
      <c r="J230" s="287"/>
      <c r="K230" s="287"/>
      <c r="L230" s="287"/>
      <c r="M230" s="287"/>
      <c r="N230" s="267">
        <f t="shared" si="79"/>
        <v>204</v>
      </c>
      <c r="O230" s="120"/>
      <c r="P230" s="96">
        <f t="shared" si="80"/>
        <v>204</v>
      </c>
      <c r="Q230" s="97">
        <f t="shared" si="81"/>
        <v>68</v>
      </c>
      <c r="R230" s="287"/>
      <c r="S230" s="201"/>
      <c r="T230" s="192"/>
      <c r="U230" s="183"/>
      <c r="V230" s="168"/>
      <c r="W230" s="50"/>
      <c r="X230" s="50"/>
      <c r="Y230" s="215">
        <f t="shared" ref="Y230:Y260" si="83">AK230</f>
        <v>204</v>
      </c>
      <c r="Z230" s="120"/>
      <c r="AA230" s="96">
        <f t="shared" ref="AA230:AA261" si="84">S230+T230+U230+V230+W230+X230+Y230</f>
        <v>204</v>
      </c>
      <c r="AB230" s="97">
        <f>IF(C230=2012, AA230/3,AA230)+Z230</f>
        <v>204</v>
      </c>
      <c r="AC230" s="22"/>
      <c r="AD230" s="50"/>
      <c r="AE230" s="50"/>
      <c r="AF230" s="50">
        <f>28+93</f>
        <v>121</v>
      </c>
      <c r="AG230" s="50"/>
      <c r="AH230" s="50">
        <f>AV230</f>
        <v>83</v>
      </c>
      <c r="AI230" s="120"/>
      <c r="AJ230" s="96">
        <f>SUM(AD230:AH230)</f>
        <v>204</v>
      </c>
      <c r="AK230" s="97">
        <f>IF(C230=2011, AJ230/3,AJ230)+AI230</f>
        <v>204</v>
      </c>
      <c r="AL230" s="22"/>
      <c r="AM230" s="287">
        <f>15</f>
        <v>15</v>
      </c>
      <c r="AN230" s="287"/>
      <c r="AO230" s="287"/>
      <c r="AP230" s="287"/>
      <c r="AQ230" s="287"/>
      <c r="AR230" s="287"/>
      <c r="AS230" s="287">
        <v>68</v>
      </c>
      <c r="AT230" s="95"/>
      <c r="AU230" s="96">
        <f>SUM(AM230:AS230)</f>
        <v>83</v>
      </c>
      <c r="AV230" s="97">
        <f>IF(C230=2010, AU230/3,AU230)+AT230</f>
        <v>83</v>
      </c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spans="1:67" s="3" customFormat="1" x14ac:dyDescent="0.25">
      <c r="A231" s="60" t="s">
        <v>155</v>
      </c>
      <c r="B231" s="65" t="s">
        <v>111</v>
      </c>
      <c r="C231" s="62">
        <v>2009</v>
      </c>
      <c r="D231" s="1">
        <f t="shared" si="78"/>
        <v>8.6666666666666661</v>
      </c>
      <c r="E231" s="283"/>
      <c r="F231" s="278"/>
      <c r="G231" s="120"/>
      <c r="H231" s="290"/>
      <c r="I231" s="287"/>
      <c r="J231" s="287"/>
      <c r="K231" s="287"/>
      <c r="L231" s="287"/>
      <c r="M231" s="287"/>
      <c r="N231" s="267">
        <f t="shared" si="79"/>
        <v>26</v>
      </c>
      <c r="O231" s="120"/>
      <c r="P231" s="96">
        <f t="shared" si="80"/>
        <v>26</v>
      </c>
      <c r="Q231" s="97">
        <f t="shared" si="81"/>
        <v>8.6666666666666661</v>
      </c>
      <c r="R231" s="287"/>
      <c r="S231" s="201"/>
      <c r="T231" s="192"/>
      <c r="U231" s="183"/>
      <c r="V231" s="168"/>
      <c r="W231" s="50"/>
      <c r="X231" s="50"/>
      <c r="Y231" s="215">
        <f t="shared" si="83"/>
        <v>26</v>
      </c>
      <c r="Z231" s="120"/>
      <c r="AA231" s="96">
        <f t="shared" si="84"/>
        <v>26</v>
      </c>
      <c r="AB231" s="97">
        <f>IF(C231=2012, AA231/3,AA231)+Z231</f>
        <v>26</v>
      </c>
      <c r="AC231" s="22"/>
      <c r="AD231" s="50"/>
      <c r="AE231" s="50"/>
      <c r="AF231" s="50"/>
      <c r="AG231" s="50"/>
      <c r="AH231" s="50">
        <f>AV231</f>
        <v>26</v>
      </c>
      <c r="AI231" s="120"/>
      <c r="AJ231" s="96">
        <f>SUM(AD231:AH231)</f>
        <v>26</v>
      </c>
      <c r="AK231" s="97">
        <f>IF(C231=2011, AJ231/3,AJ231)+AI231</f>
        <v>26</v>
      </c>
      <c r="AL231" s="22"/>
      <c r="AM231" s="13"/>
      <c r="AN231" s="13">
        <v>4</v>
      </c>
      <c r="AO231" s="13"/>
      <c r="AP231" s="13">
        <f>14+1</f>
        <v>15</v>
      </c>
      <c r="AQ231" s="13">
        <f>7</f>
        <v>7</v>
      </c>
      <c r="AR231" s="13"/>
      <c r="AS231" s="13"/>
      <c r="AT231" s="95"/>
      <c r="AU231" s="96">
        <f>SUM(AM231:AS231)</f>
        <v>26</v>
      </c>
      <c r="AV231" s="97">
        <f>IF(C231=2010, AU231/3,AU231)+AT231</f>
        <v>26</v>
      </c>
    </row>
    <row r="232" spans="1:67" s="3" customFormat="1" x14ac:dyDescent="0.25">
      <c r="A232" s="71" t="s">
        <v>571</v>
      </c>
      <c r="B232" s="71" t="s">
        <v>63</v>
      </c>
      <c r="C232" s="72">
        <v>2009</v>
      </c>
      <c r="D232" s="1">
        <f t="shared" si="78"/>
        <v>107.66666666666667</v>
      </c>
      <c r="E232" s="283">
        <f>0</f>
        <v>0</v>
      </c>
      <c r="F232" s="278"/>
      <c r="G232" s="120"/>
      <c r="H232" s="290"/>
      <c r="I232" s="261"/>
      <c r="J232" s="246">
        <f>0</f>
        <v>0</v>
      </c>
      <c r="K232" s="241">
        <f>3</f>
        <v>3</v>
      </c>
      <c r="L232" s="228"/>
      <c r="M232" s="215"/>
      <c r="N232" s="267">
        <f t="shared" si="79"/>
        <v>320</v>
      </c>
      <c r="O232" s="120"/>
      <c r="P232" s="96">
        <f t="shared" si="80"/>
        <v>323</v>
      </c>
      <c r="Q232" s="97">
        <f t="shared" si="81"/>
        <v>107.66666666666667</v>
      </c>
      <c r="R232" s="215"/>
      <c r="S232" s="201">
        <f>3+3</f>
        <v>6</v>
      </c>
      <c r="T232" s="192">
        <f>0+6</f>
        <v>6</v>
      </c>
      <c r="U232" s="183">
        <f>10+3</f>
        <v>13</v>
      </c>
      <c r="V232" s="168">
        <f>16+6+6+6</f>
        <v>34</v>
      </c>
      <c r="W232" s="50">
        <f>42+10+3+6</f>
        <v>61</v>
      </c>
      <c r="X232" s="50">
        <f>38+10+9</f>
        <v>57</v>
      </c>
      <c r="Y232" s="215">
        <f t="shared" si="83"/>
        <v>143</v>
      </c>
      <c r="Z232" s="120"/>
      <c r="AA232" s="96">
        <f t="shared" si="84"/>
        <v>320</v>
      </c>
      <c r="AB232" s="97">
        <f>IF(C232=2012, AA232/3,AA232)+Z232</f>
        <v>320</v>
      </c>
      <c r="AC232" s="22"/>
      <c r="AD232" s="50">
        <f>14+14</f>
        <v>28</v>
      </c>
      <c r="AE232" s="50">
        <f>24+15</f>
        <v>39</v>
      </c>
      <c r="AF232" s="50">
        <f>40+15</f>
        <v>55</v>
      </c>
      <c r="AG232" s="50">
        <f>21</f>
        <v>21</v>
      </c>
      <c r="AH232" s="50"/>
      <c r="AI232" s="120"/>
      <c r="AJ232" s="96">
        <f>SUM(AD232:AH232)</f>
        <v>143</v>
      </c>
      <c r="AK232" s="97">
        <f>IF(C232=2011, AJ232/3,AJ232)+AI232</f>
        <v>143</v>
      </c>
      <c r="AL232" s="22"/>
      <c r="AM232" s="287"/>
      <c r="AN232" s="287"/>
      <c r="AO232" s="287"/>
      <c r="AP232" s="287"/>
      <c r="AQ232" s="287"/>
      <c r="AR232" s="287"/>
      <c r="AS232" s="285"/>
      <c r="AT232" s="95"/>
      <c r="AU232" s="96"/>
      <c r="AV232" s="97"/>
    </row>
    <row r="233" spans="1:67" s="52" customFormat="1" x14ac:dyDescent="0.25">
      <c r="A233" s="60" t="s">
        <v>799</v>
      </c>
      <c r="B233" s="65" t="s">
        <v>583</v>
      </c>
      <c r="C233" s="62">
        <v>2008</v>
      </c>
      <c r="D233" s="1">
        <f t="shared" si="78"/>
        <v>4</v>
      </c>
      <c r="E233" s="283"/>
      <c r="F233" s="278"/>
      <c r="G233" s="120"/>
      <c r="H233" s="13"/>
      <c r="I233" s="154"/>
      <c r="J233" s="154"/>
      <c r="K233" s="154"/>
      <c r="L233" s="154"/>
      <c r="M233" s="154"/>
      <c r="N233" s="267">
        <f t="shared" si="79"/>
        <v>4</v>
      </c>
      <c r="O233" s="122"/>
      <c r="P233" s="96">
        <f t="shared" si="80"/>
        <v>4</v>
      </c>
      <c r="Q233" s="97">
        <f t="shared" si="81"/>
        <v>4</v>
      </c>
      <c r="R233" s="154"/>
      <c r="S233" s="201"/>
      <c r="T233" s="192"/>
      <c r="U233" s="183"/>
      <c r="V233" s="168"/>
      <c r="W233" s="50"/>
      <c r="X233" s="50">
        <f>12</f>
        <v>12</v>
      </c>
      <c r="Y233" s="215">
        <f t="shared" si="83"/>
        <v>0</v>
      </c>
      <c r="Z233" s="120"/>
      <c r="AA233" s="96">
        <f t="shared" si="84"/>
        <v>12</v>
      </c>
      <c r="AB233" s="97">
        <f t="shared" ref="AB233:AB238" si="85">IF(C233=2008, AA233/3,AA233)+Z233</f>
        <v>4</v>
      </c>
      <c r="AC233" s="22"/>
      <c r="AD233" s="50"/>
      <c r="AE233" s="50"/>
      <c r="AF233" s="50"/>
      <c r="AG233" s="50"/>
      <c r="AH233" s="50"/>
      <c r="AI233" s="120"/>
      <c r="AJ233" s="96"/>
      <c r="AK233" s="97"/>
      <c r="AL233" s="22"/>
      <c r="AM233" s="13"/>
      <c r="AN233" s="13"/>
      <c r="AO233" s="13"/>
      <c r="AP233" s="13"/>
      <c r="AQ233" s="13"/>
      <c r="AR233" s="13"/>
      <c r="AS233" s="13"/>
      <c r="AT233" s="95"/>
      <c r="AU233" s="96"/>
      <c r="AV233" s="97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spans="1:67" s="52" customFormat="1" x14ac:dyDescent="0.25">
      <c r="A234" s="60" t="s">
        <v>348</v>
      </c>
      <c r="B234" s="65" t="s">
        <v>86</v>
      </c>
      <c r="C234" s="62">
        <v>2008</v>
      </c>
      <c r="D234" s="1">
        <f t="shared" si="78"/>
        <v>3.3333333333333335</v>
      </c>
      <c r="E234" s="108"/>
      <c r="F234" s="108"/>
      <c r="G234" s="120"/>
      <c r="H234" s="101"/>
      <c r="I234" s="287"/>
      <c r="J234" s="287"/>
      <c r="K234" s="287"/>
      <c r="L234" s="287"/>
      <c r="M234" s="287"/>
      <c r="N234" s="267">
        <f t="shared" si="79"/>
        <v>3.3333333333333335</v>
      </c>
      <c r="O234" s="120"/>
      <c r="P234" s="96">
        <f t="shared" si="80"/>
        <v>3.3333333333333335</v>
      </c>
      <c r="Q234" s="97">
        <f t="shared" si="81"/>
        <v>3.3333333333333335</v>
      </c>
      <c r="R234" s="287"/>
      <c r="S234" s="201"/>
      <c r="T234" s="192"/>
      <c r="U234" s="183"/>
      <c r="V234" s="168"/>
      <c r="W234" s="50"/>
      <c r="X234" s="50"/>
      <c r="Y234" s="215">
        <f t="shared" si="83"/>
        <v>10</v>
      </c>
      <c r="Z234" s="120"/>
      <c r="AA234" s="96">
        <f t="shared" si="84"/>
        <v>10</v>
      </c>
      <c r="AB234" s="97">
        <f t="shared" si="85"/>
        <v>3.3333333333333335</v>
      </c>
      <c r="AC234" s="22"/>
      <c r="AD234" s="50"/>
      <c r="AE234" s="50"/>
      <c r="AF234" s="50"/>
      <c r="AG234" s="50"/>
      <c r="AH234" s="50">
        <f>AV234</f>
        <v>10</v>
      </c>
      <c r="AI234" s="120"/>
      <c r="AJ234" s="96">
        <f>SUM(AD234:AH234)</f>
        <v>10</v>
      </c>
      <c r="AK234" s="97">
        <f>IF(C234=2011, AJ234/3,AJ234)+AI234</f>
        <v>10</v>
      </c>
      <c r="AL234" s="22"/>
      <c r="AM234" s="13"/>
      <c r="AN234" s="13"/>
      <c r="AO234" s="13"/>
      <c r="AP234" s="13">
        <f>6+4</f>
        <v>10</v>
      </c>
      <c r="AQ234" s="13"/>
      <c r="AR234" s="13"/>
      <c r="AS234" s="13"/>
      <c r="AT234" s="95"/>
      <c r="AU234" s="96">
        <f>SUM(AM234:AS234)</f>
        <v>10</v>
      </c>
      <c r="AV234" s="97">
        <f>IF(C234=2010, AU234/3,AU234)+AT234</f>
        <v>10</v>
      </c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spans="1:67" s="3" customFormat="1" x14ac:dyDescent="0.25">
      <c r="A235" s="60" t="s">
        <v>517</v>
      </c>
      <c r="B235" s="65" t="s">
        <v>86</v>
      </c>
      <c r="C235" s="62">
        <v>2007</v>
      </c>
      <c r="D235" s="1">
        <f t="shared" si="78"/>
        <v>4</v>
      </c>
      <c r="E235" s="154"/>
      <c r="F235" s="154"/>
      <c r="G235" s="120"/>
      <c r="H235" s="290"/>
      <c r="I235" s="267"/>
      <c r="J235" s="267"/>
      <c r="K235" s="267"/>
      <c r="L235" s="267"/>
      <c r="M235" s="267"/>
      <c r="N235" s="267">
        <f t="shared" si="79"/>
        <v>4</v>
      </c>
      <c r="O235" s="120"/>
      <c r="P235" s="96">
        <f t="shared" si="80"/>
        <v>4</v>
      </c>
      <c r="Q235" s="97">
        <f t="shared" si="81"/>
        <v>4</v>
      </c>
      <c r="R235" s="267"/>
      <c r="S235" s="201"/>
      <c r="T235" s="192"/>
      <c r="U235" s="187"/>
      <c r="V235" s="187"/>
      <c r="W235" s="187"/>
      <c r="X235" s="187"/>
      <c r="Y235" s="215">
        <f t="shared" si="83"/>
        <v>4</v>
      </c>
      <c r="Z235" s="120"/>
      <c r="AA235" s="96">
        <f t="shared" si="84"/>
        <v>4</v>
      </c>
      <c r="AB235" s="97">
        <f t="shared" si="85"/>
        <v>4</v>
      </c>
      <c r="AC235" s="22"/>
      <c r="AD235" s="50"/>
      <c r="AE235" s="50"/>
      <c r="AF235" s="50"/>
      <c r="AG235" s="50"/>
      <c r="AH235" s="50">
        <f>AV235</f>
        <v>12</v>
      </c>
      <c r="AI235" s="120"/>
      <c r="AJ235" s="96">
        <f>SUM(AD235:AH235)</f>
        <v>12</v>
      </c>
      <c r="AK235" s="97">
        <f>IF(C235=2007, AJ235/3,AJ235)+AI235</f>
        <v>4</v>
      </c>
      <c r="AL235" s="22"/>
      <c r="AM235" s="13"/>
      <c r="AN235" s="13"/>
      <c r="AO235" s="13"/>
      <c r="AP235" s="13"/>
      <c r="AQ235" s="13"/>
      <c r="AR235" s="13">
        <f>0</f>
        <v>0</v>
      </c>
      <c r="AS235" s="13">
        <f>9</f>
        <v>9</v>
      </c>
      <c r="AT235" s="95">
        <f>3</f>
        <v>3</v>
      </c>
      <c r="AU235" s="96">
        <f>SUM(AM235:AS235)</f>
        <v>9</v>
      </c>
      <c r="AV235" s="97">
        <f>IF(C235=2010, AU235/3,AU235)+AT235</f>
        <v>12</v>
      </c>
    </row>
    <row r="236" spans="1:67" s="3" customFormat="1" x14ac:dyDescent="0.25">
      <c r="A236" s="60" t="s">
        <v>537</v>
      </c>
      <c r="B236" s="65" t="s">
        <v>529</v>
      </c>
      <c r="C236" s="62">
        <v>2005</v>
      </c>
      <c r="D236" s="1">
        <f t="shared" si="78"/>
        <v>0</v>
      </c>
      <c r="E236" s="283"/>
      <c r="F236" s="278"/>
      <c r="G236" s="120"/>
      <c r="H236" s="290"/>
      <c r="I236" s="261"/>
      <c r="J236" s="246"/>
      <c r="K236" s="241"/>
      <c r="L236" s="228"/>
      <c r="M236" s="215"/>
      <c r="N236" s="267">
        <f t="shared" si="79"/>
        <v>0</v>
      </c>
      <c r="O236" s="152"/>
      <c r="P236" s="96">
        <f t="shared" si="80"/>
        <v>0</v>
      </c>
      <c r="Q236" s="97">
        <f t="shared" si="81"/>
        <v>0</v>
      </c>
      <c r="R236" s="215"/>
      <c r="S236" s="201"/>
      <c r="T236" s="192"/>
      <c r="U236" s="183"/>
      <c r="V236" s="168"/>
      <c r="W236" s="50"/>
      <c r="X236" s="50"/>
      <c r="Y236" s="215">
        <f t="shared" si="83"/>
        <v>0</v>
      </c>
      <c r="Z236" s="120"/>
      <c r="AA236" s="96">
        <f t="shared" si="84"/>
        <v>0</v>
      </c>
      <c r="AB236" s="97">
        <f t="shared" si="85"/>
        <v>0</v>
      </c>
      <c r="AC236" s="22"/>
      <c r="AD236" s="50"/>
      <c r="AE236" s="50"/>
      <c r="AF236" s="50"/>
      <c r="AG236" s="50"/>
      <c r="AH236" s="50">
        <f>AV236</f>
        <v>0</v>
      </c>
      <c r="AI236" s="120"/>
      <c r="AJ236" s="96">
        <f>SUM(AD236:AH236)</f>
        <v>0</v>
      </c>
      <c r="AK236" s="97">
        <f>IF(C236=2007, AJ236/3,AJ236)+AI236</f>
        <v>0</v>
      </c>
      <c r="AL236" s="22"/>
      <c r="AM236" s="26"/>
      <c r="AN236" s="26"/>
      <c r="AO236" s="26"/>
      <c r="AP236" s="26"/>
      <c r="AQ236" s="26"/>
      <c r="AR236" s="26">
        <f>0</f>
        <v>0</v>
      </c>
      <c r="AS236" s="26"/>
      <c r="AT236" s="95"/>
      <c r="AU236" s="96">
        <f>SUM(AM236:AS236)</f>
        <v>0</v>
      </c>
      <c r="AV236" s="97">
        <f>IF(C236=2006, AU236/3,AU236)+AT236</f>
        <v>0</v>
      </c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</row>
    <row r="237" spans="1:67" s="3" customFormat="1" x14ac:dyDescent="0.25">
      <c r="A237" s="51" t="s">
        <v>55</v>
      </c>
      <c r="B237" s="65" t="s">
        <v>63</v>
      </c>
      <c r="C237" s="52">
        <v>2007</v>
      </c>
      <c r="D237" s="1">
        <f t="shared" si="78"/>
        <v>128.55555555555554</v>
      </c>
      <c r="E237" s="283"/>
      <c r="F237" s="278"/>
      <c r="G237" s="120"/>
      <c r="H237" s="13"/>
      <c r="I237" s="154"/>
      <c r="J237" s="154"/>
      <c r="K237" s="154"/>
      <c r="L237" s="154"/>
      <c r="M237" s="154"/>
      <c r="N237" s="267">
        <f t="shared" si="79"/>
        <v>128.55555555555554</v>
      </c>
      <c r="O237" s="122"/>
      <c r="P237" s="96">
        <f t="shared" si="80"/>
        <v>128.55555555555554</v>
      </c>
      <c r="Q237" s="97">
        <f t="shared" si="81"/>
        <v>128.55555555555554</v>
      </c>
      <c r="R237" s="154"/>
      <c r="S237" s="201"/>
      <c r="T237" s="192"/>
      <c r="U237" s="183"/>
      <c r="V237" s="168">
        <f>9</f>
        <v>9</v>
      </c>
      <c r="W237" s="50">
        <f>9</f>
        <v>9</v>
      </c>
      <c r="X237" s="50"/>
      <c r="Y237" s="215">
        <f t="shared" si="83"/>
        <v>110.55555555555556</v>
      </c>
      <c r="Z237" s="120"/>
      <c r="AA237" s="96">
        <f t="shared" si="84"/>
        <v>128.55555555555554</v>
      </c>
      <c r="AB237" s="97">
        <f t="shared" si="85"/>
        <v>128.55555555555554</v>
      </c>
      <c r="AC237" s="22"/>
      <c r="AD237" s="50"/>
      <c r="AE237" s="50"/>
      <c r="AF237" s="50"/>
      <c r="AG237" s="50"/>
      <c r="AH237" s="50">
        <f>AV237</f>
        <v>331.66666666666669</v>
      </c>
      <c r="AI237" s="120"/>
      <c r="AJ237" s="96">
        <f>SUM(AD237:AH237)</f>
        <v>331.66666666666669</v>
      </c>
      <c r="AK237" s="97">
        <f>IF(C237=2007, AJ237/3,AJ237)+AI237</f>
        <v>110.55555555555556</v>
      </c>
      <c r="AL237" s="22"/>
      <c r="AM237" s="287">
        <f>6</f>
        <v>6</v>
      </c>
      <c r="AN237" s="287">
        <f>42</f>
        <v>42</v>
      </c>
      <c r="AO237" s="287"/>
      <c r="AP237" s="287">
        <f>42</f>
        <v>42</v>
      </c>
      <c r="AQ237" s="287"/>
      <c r="AR237" s="287"/>
      <c r="AS237" s="287">
        <v>241.66666666666669</v>
      </c>
      <c r="AT237" s="95"/>
      <c r="AU237" s="96">
        <f>SUM(AM237:AS237)</f>
        <v>331.66666666666669</v>
      </c>
      <c r="AV237" s="97">
        <f>IF(C237=2010, AU237/3,AU237)+AT237</f>
        <v>331.66666666666669</v>
      </c>
    </row>
    <row r="238" spans="1:67" s="3" customFormat="1" x14ac:dyDescent="0.25">
      <c r="A238" s="11" t="s">
        <v>795</v>
      </c>
      <c r="B238" s="60" t="s">
        <v>64</v>
      </c>
      <c r="C238" s="62">
        <v>2007</v>
      </c>
      <c r="D238" s="1">
        <f t="shared" si="78"/>
        <v>9</v>
      </c>
      <c r="E238" s="283"/>
      <c r="F238" s="278"/>
      <c r="G238" s="120"/>
      <c r="H238" s="290"/>
      <c r="I238" s="261"/>
      <c r="J238" s="246"/>
      <c r="K238" s="241"/>
      <c r="L238" s="228"/>
      <c r="M238" s="215"/>
      <c r="N238" s="267">
        <f t="shared" si="79"/>
        <v>9</v>
      </c>
      <c r="O238" s="120"/>
      <c r="P238" s="96">
        <f t="shared" si="80"/>
        <v>9</v>
      </c>
      <c r="Q238" s="97">
        <f t="shared" si="81"/>
        <v>9</v>
      </c>
      <c r="R238" s="215"/>
      <c r="S238" s="201"/>
      <c r="T238" s="192"/>
      <c r="U238" s="183"/>
      <c r="V238" s="168"/>
      <c r="W238" s="50">
        <f>0+3</f>
        <v>3</v>
      </c>
      <c r="X238" s="50">
        <f>0+6</f>
        <v>6</v>
      </c>
      <c r="Y238" s="215">
        <f t="shared" si="83"/>
        <v>0</v>
      </c>
      <c r="Z238" s="120"/>
      <c r="AA238" s="96">
        <f t="shared" si="84"/>
        <v>9</v>
      </c>
      <c r="AB238" s="97">
        <f t="shared" si="85"/>
        <v>9</v>
      </c>
      <c r="AC238" s="22"/>
      <c r="AD238" s="50"/>
      <c r="AE238" s="50"/>
      <c r="AF238" s="50"/>
      <c r="AG238" s="50"/>
      <c r="AH238" s="50"/>
      <c r="AI238" s="120"/>
      <c r="AJ238" s="96"/>
      <c r="AK238" s="97"/>
      <c r="AL238" s="22"/>
      <c r="AM238" s="41"/>
      <c r="AN238" s="41"/>
      <c r="AO238" s="41"/>
      <c r="AP238" s="41"/>
      <c r="AQ238" s="41"/>
      <c r="AR238" s="41"/>
      <c r="AS238" s="13"/>
      <c r="AT238" s="95"/>
      <c r="AU238" s="96"/>
      <c r="AV238" s="97"/>
    </row>
    <row r="239" spans="1:67" s="52" customFormat="1" x14ac:dyDescent="0.25">
      <c r="A239" s="11" t="s">
        <v>800</v>
      </c>
      <c r="B239" s="60" t="s">
        <v>583</v>
      </c>
      <c r="C239" s="62">
        <v>2009</v>
      </c>
      <c r="D239" s="1">
        <f t="shared" si="78"/>
        <v>4</v>
      </c>
      <c r="E239" s="283"/>
      <c r="F239" s="278"/>
      <c r="G239" s="120"/>
      <c r="H239" s="290"/>
      <c r="I239" s="267"/>
      <c r="J239" s="267"/>
      <c r="K239" s="267"/>
      <c r="L239" s="267"/>
      <c r="M239" s="267"/>
      <c r="N239" s="267">
        <f t="shared" si="79"/>
        <v>12</v>
      </c>
      <c r="O239" s="120"/>
      <c r="P239" s="96">
        <f t="shared" si="80"/>
        <v>12</v>
      </c>
      <c r="Q239" s="97">
        <f t="shared" si="81"/>
        <v>4</v>
      </c>
      <c r="R239" s="267"/>
      <c r="S239" s="201"/>
      <c r="T239" s="192"/>
      <c r="U239" s="183"/>
      <c r="V239" s="168"/>
      <c r="W239" s="50"/>
      <c r="X239" s="50">
        <f>12</f>
        <v>12</v>
      </c>
      <c r="Y239" s="215">
        <f t="shared" si="83"/>
        <v>0</v>
      </c>
      <c r="Z239" s="120"/>
      <c r="AA239" s="96">
        <f t="shared" si="84"/>
        <v>12</v>
      </c>
      <c r="AB239" s="97">
        <f>IF(C239=2012, AA239/3,AA239)+Z239</f>
        <v>12</v>
      </c>
      <c r="AC239" s="22"/>
      <c r="AD239" s="50"/>
      <c r="AE239" s="50"/>
      <c r="AF239" s="50"/>
      <c r="AG239" s="50"/>
      <c r="AH239" s="50"/>
      <c r="AI239" s="120"/>
      <c r="AJ239" s="96">
        <f t="shared" ref="AJ239:AJ248" si="86">SUM(AD239:AH239)</f>
        <v>0</v>
      </c>
      <c r="AK239" s="97"/>
      <c r="AL239" s="22"/>
      <c r="AM239" s="41"/>
      <c r="AN239" s="41"/>
      <c r="AO239" s="41"/>
      <c r="AP239" s="41"/>
      <c r="AQ239" s="41"/>
      <c r="AR239" s="41"/>
      <c r="AS239" s="13"/>
      <c r="AT239" s="95"/>
      <c r="AU239" s="96"/>
      <c r="AV239" s="97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spans="1:67" s="3" customFormat="1" x14ac:dyDescent="0.25">
      <c r="A240" s="60" t="s">
        <v>383</v>
      </c>
      <c r="B240" s="65" t="s">
        <v>378</v>
      </c>
      <c r="C240" s="62">
        <v>2009</v>
      </c>
      <c r="D240" s="1">
        <f t="shared" si="78"/>
        <v>4</v>
      </c>
      <c r="E240" s="283"/>
      <c r="F240" s="278"/>
      <c r="G240" s="120"/>
      <c r="H240" s="290"/>
      <c r="I240" s="261"/>
      <c r="J240" s="246"/>
      <c r="K240" s="241"/>
      <c r="L240" s="228"/>
      <c r="M240" s="215"/>
      <c r="N240" s="267">
        <f t="shared" si="79"/>
        <v>12</v>
      </c>
      <c r="O240" s="120"/>
      <c r="P240" s="96">
        <f t="shared" si="80"/>
        <v>12</v>
      </c>
      <c r="Q240" s="97">
        <f t="shared" si="81"/>
        <v>4</v>
      </c>
      <c r="R240" s="215"/>
      <c r="S240" s="201"/>
      <c r="T240" s="192"/>
      <c r="U240" s="183"/>
      <c r="V240" s="168"/>
      <c r="W240" s="50"/>
      <c r="X240" s="50"/>
      <c r="Y240" s="215">
        <f t="shared" si="83"/>
        <v>12</v>
      </c>
      <c r="Z240" s="120"/>
      <c r="AA240" s="96">
        <f t="shared" si="84"/>
        <v>12</v>
      </c>
      <c r="AB240" s="97">
        <f>IF(C240=2012, AA240/3,AA240)+Z240</f>
        <v>12</v>
      </c>
      <c r="AC240" s="22"/>
      <c r="AD240" s="50"/>
      <c r="AE240" s="50"/>
      <c r="AF240" s="50"/>
      <c r="AG240" s="50"/>
      <c r="AH240" s="50">
        <f>AV240</f>
        <v>12</v>
      </c>
      <c r="AI240" s="120"/>
      <c r="AJ240" s="96">
        <f t="shared" si="86"/>
        <v>12</v>
      </c>
      <c r="AK240" s="97">
        <f>IF(C240=2011, AJ240/3,AJ240)+AI240</f>
        <v>12</v>
      </c>
      <c r="AL240" s="22"/>
      <c r="AM240" s="13"/>
      <c r="AN240" s="13"/>
      <c r="AO240" s="13"/>
      <c r="AP240" s="13">
        <f>3</f>
        <v>3</v>
      </c>
      <c r="AQ240" s="13"/>
      <c r="AR240" s="13">
        <f>9</f>
        <v>9</v>
      </c>
      <c r="AS240" s="13"/>
      <c r="AT240" s="95"/>
      <c r="AU240" s="96">
        <f>SUM(AM240:AS240)</f>
        <v>12</v>
      </c>
      <c r="AV240" s="97">
        <f>IF(C240=2010, AU240/3,AU240)+AT240</f>
        <v>12</v>
      </c>
    </row>
    <row r="241" spans="1:67" s="3" customFormat="1" x14ac:dyDescent="0.25">
      <c r="A241" s="60" t="s">
        <v>387</v>
      </c>
      <c r="B241" s="65" t="s">
        <v>111</v>
      </c>
      <c r="C241" s="62">
        <v>2005</v>
      </c>
      <c r="D241" s="1">
        <f t="shared" si="78"/>
        <v>1</v>
      </c>
      <c r="E241" s="283"/>
      <c r="F241" s="278"/>
      <c r="G241" s="120"/>
      <c r="H241" s="290"/>
      <c r="I241" s="261"/>
      <c r="J241" s="246"/>
      <c r="K241" s="241"/>
      <c r="L241" s="228"/>
      <c r="M241" s="215"/>
      <c r="N241" s="267">
        <f t="shared" si="79"/>
        <v>1</v>
      </c>
      <c r="O241" s="152"/>
      <c r="P241" s="96">
        <f t="shared" si="80"/>
        <v>1</v>
      </c>
      <c r="Q241" s="97">
        <f t="shared" si="81"/>
        <v>1</v>
      </c>
      <c r="R241" s="215"/>
      <c r="S241" s="201"/>
      <c r="T241" s="192"/>
      <c r="U241" s="183"/>
      <c r="V241" s="168"/>
      <c r="W241" s="50"/>
      <c r="X241" s="50"/>
      <c r="Y241" s="215">
        <f t="shared" si="83"/>
        <v>1</v>
      </c>
      <c r="Z241" s="120"/>
      <c r="AA241" s="96">
        <f t="shared" si="84"/>
        <v>1</v>
      </c>
      <c r="AB241" s="97">
        <f>IF(C241=2008, AA241/3,AA241)+Z241</f>
        <v>1</v>
      </c>
      <c r="AC241" s="22"/>
      <c r="AD241" s="50"/>
      <c r="AE241" s="50"/>
      <c r="AF241" s="50"/>
      <c r="AG241" s="50"/>
      <c r="AH241" s="50">
        <f>AV241</f>
        <v>1</v>
      </c>
      <c r="AI241" s="120"/>
      <c r="AJ241" s="96">
        <f t="shared" si="86"/>
        <v>1</v>
      </c>
      <c r="AK241" s="97">
        <f>IF(C241=2007, AJ241/3,AJ241)+AI241</f>
        <v>1</v>
      </c>
      <c r="AL241" s="22"/>
      <c r="AM241" s="26"/>
      <c r="AN241" s="26"/>
      <c r="AO241" s="26"/>
      <c r="AP241" s="26">
        <f>1</f>
        <v>1</v>
      </c>
      <c r="AQ241" s="26"/>
      <c r="AR241" s="26"/>
      <c r="AS241" s="26"/>
      <c r="AT241" s="95"/>
      <c r="AU241" s="96">
        <f>SUM(AM241:AS241)</f>
        <v>1</v>
      </c>
      <c r="AV241" s="97">
        <f>IF(C241=2006, AU241/3,AU241)+AT241</f>
        <v>1</v>
      </c>
    </row>
    <row r="242" spans="1:67" s="3" customFormat="1" x14ac:dyDescent="0.25">
      <c r="A242" s="51" t="s">
        <v>50</v>
      </c>
      <c r="B242" s="84" t="s">
        <v>23</v>
      </c>
      <c r="C242" s="52">
        <v>2008</v>
      </c>
      <c r="D242" s="1">
        <f t="shared" si="78"/>
        <v>96</v>
      </c>
      <c r="E242" s="283"/>
      <c r="F242" s="278"/>
      <c r="G242" s="120">
        <f>3</f>
        <v>3</v>
      </c>
      <c r="H242" s="290"/>
      <c r="I242" s="287"/>
      <c r="J242" s="287"/>
      <c r="K242" s="287"/>
      <c r="L242" s="287"/>
      <c r="M242" s="287"/>
      <c r="N242" s="267">
        <f t="shared" si="79"/>
        <v>96</v>
      </c>
      <c r="O242" s="120"/>
      <c r="P242" s="96">
        <f t="shared" si="80"/>
        <v>96</v>
      </c>
      <c r="Q242" s="97">
        <f t="shared" si="81"/>
        <v>96</v>
      </c>
      <c r="R242" s="287"/>
      <c r="S242" s="201"/>
      <c r="T242" s="192"/>
      <c r="U242" s="183"/>
      <c r="V242" s="168"/>
      <c r="W242" s="50"/>
      <c r="X242" s="50"/>
      <c r="Y242" s="215">
        <f t="shared" si="83"/>
        <v>288</v>
      </c>
      <c r="Z242" s="120"/>
      <c r="AA242" s="96">
        <f t="shared" si="84"/>
        <v>288</v>
      </c>
      <c r="AB242" s="97">
        <f>IF(C242=2008, AA242/3,AA242)+Z242</f>
        <v>96</v>
      </c>
      <c r="AC242" s="22"/>
      <c r="AD242" s="50"/>
      <c r="AE242" s="50"/>
      <c r="AF242" s="50">
        <f>141</f>
        <v>141</v>
      </c>
      <c r="AG242" s="50"/>
      <c r="AH242" s="50">
        <f>AV242</f>
        <v>147</v>
      </c>
      <c r="AI242" s="120"/>
      <c r="AJ242" s="96">
        <f t="shared" si="86"/>
        <v>288</v>
      </c>
      <c r="AK242" s="97">
        <f>IF(C242=2011, AJ242/3,AJ242)+AI242</f>
        <v>288</v>
      </c>
      <c r="AL242" s="22"/>
      <c r="AM242" s="287">
        <f>9+3</f>
        <v>12</v>
      </c>
      <c r="AN242" s="287"/>
      <c r="AO242" s="287"/>
      <c r="AP242" s="287"/>
      <c r="AQ242" s="287"/>
      <c r="AR242" s="287"/>
      <c r="AS242" s="287">
        <v>135</v>
      </c>
      <c r="AT242" s="95"/>
      <c r="AU242" s="96">
        <f>SUM(AM242:AS242)</f>
        <v>147</v>
      </c>
      <c r="AV242" s="97">
        <f>IF(C242=2010, AU242/3,AU242)+AT242</f>
        <v>147</v>
      </c>
    </row>
    <row r="243" spans="1:67" s="3" customFormat="1" x14ac:dyDescent="0.25">
      <c r="A243" s="53" t="s">
        <v>783</v>
      </c>
      <c r="B243" s="84" t="s">
        <v>296</v>
      </c>
      <c r="C243" s="54">
        <v>2009</v>
      </c>
      <c r="D243" s="1">
        <f t="shared" si="78"/>
        <v>0</v>
      </c>
      <c r="E243" s="283"/>
      <c r="F243" s="278"/>
      <c r="G243" s="120"/>
      <c r="H243" s="290"/>
      <c r="I243" s="261"/>
      <c r="J243" s="246"/>
      <c r="K243" s="241"/>
      <c r="L243" s="228"/>
      <c r="M243" s="215"/>
      <c r="N243" s="267">
        <f t="shared" si="79"/>
        <v>0</v>
      </c>
      <c r="O243" s="120"/>
      <c r="P243" s="96">
        <f t="shared" si="80"/>
        <v>0</v>
      </c>
      <c r="Q243" s="97">
        <f t="shared" si="81"/>
        <v>0</v>
      </c>
      <c r="R243" s="215"/>
      <c r="S243" s="201"/>
      <c r="T243" s="192"/>
      <c r="U243" s="183"/>
      <c r="V243" s="168"/>
      <c r="W243" s="50"/>
      <c r="X243" s="50">
        <f>0</f>
        <v>0</v>
      </c>
      <c r="Y243" s="215">
        <f t="shared" si="83"/>
        <v>0</v>
      </c>
      <c r="Z243" s="120"/>
      <c r="AA243" s="96">
        <f t="shared" si="84"/>
        <v>0</v>
      </c>
      <c r="AB243" s="97">
        <f>IF(C243=2012, AA243/3,AA243)+Z243</f>
        <v>0</v>
      </c>
      <c r="AC243" s="22"/>
      <c r="AD243" s="50"/>
      <c r="AE243" s="50"/>
      <c r="AF243" s="50"/>
      <c r="AG243" s="50"/>
      <c r="AH243" s="50"/>
      <c r="AI243" s="120"/>
      <c r="AJ243" s="96">
        <f t="shared" si="86"/>
        <v>0</v>
      </c>
      <c r="AK243" s="97"/>
      <c r="AL243" s="22"/>
      <c r="AM243" s="41"/>
      <c r="AN243" s="41"/>
      <c r="AO243" s="41"/>
      <c r="AP243" s="41"/>
      <c r="AQ243" s="41"/>
      <c r="AR243" s="41"/>
      <c r="AS243" s="41"/>
      <c r="AT243" s="95"/>
      <c r="AU243" s="96"/>
      <c r="AV243" s="97"/>
    </row>
    <row r="244" spans="1:67" s="3" customFormat="1" x14ac:dyDescent="0.25">
      <c r="A244" s="11" t="s">
        <v>700</v>
      </c>
      <c r="B244" s="60" t="s">
        <v>701</v>
      </c>
      <c r="C244" s="62">
        <v>2009</v>
      </c>
      <c r="D244" s="1">
        <f t="shared" si="78"/>
        <v>1</v>
      </c>
      <c r="E244" s="283"/>
      <c r="F244" s="278"/>
      <c r="G244" s="120"/>
      <c r="H244" s="290"/>
      <c r="I244" s="261"/>
      <c r="J244" s="246"/>
      <c r="K244" s="241"/>
      <c r="L244" s="228"/>
      <c r="M244" s="215"/>
      <c r="N244" s="267">
        <f t="shared" si="79"/>
        <v>3</v>
      </c>
      <c r="O244" s="120"/>
      <c r="P244" s="96">
        <f t="shared" si="80"/>
        <v>3</v>
      </c>
      <c r="Q244" s="97">
        <f t="shared" si="81"/>
        <v>1</v>
      </c>
      <c r="R244" s="215"/>
      <c r="S244" s="201"/>
      <c r="T244" s="192"/>
      <c r="U244" s="183"/>
      <c r="V244" s="168"/>
      <c r="W244" s="50"/>
      <c r="X244" s="50"/>
      <c r="Y244" s="215">
        <f t="shared" si="83"/>
        <v>3</v>
      </c>
      <c r="Z244" s="120"/>
      <c r="AA244" s="96">
        <f t="shared" si="84"/>
        <v>3</v>
      </c>
      <c r="AB244" s="97">
        <f>IF(C244=2012, AA244/3,AA244)+Z244</f>
        <v>3</v>
      </c>
      <c r="AC244" s="22"/>
      <c r="AD244" s="50"/>
      <c r="AE244" s="50">
        <f>3</f>
        <v>3</v>
      </c>
      <c r="AF244" s="50"/>
      <c r="AG244" s="50"/>
      <c r="AH244" s="50"/>
      <c r="AI244" s="120"/>
      <c r="AJ244" s="96">
        <f t="shared" si="86"/>
        <v>3</v>
      </c>
      <c r="AK244" s="97">
        <f>IF(C244=2011, AJ244/3,AJ244)+AI244</f>
        <v>3</v>
      </c>
      <c r="AL244" s="22"/>
      <c r="AM244" s="41"/>
      <c r="AN244" s="41"/>
      <c r="AO244" s="41"/>
      <c r="AP244" s="41"/>
      <c r="AQ244" s="41"/>
      <c r="AR244" s="41"/>
      <c r="AS244" s="13"/>
      <c r="AT244" s="95"/>
      <c r="AU244" s="96"/>
      <c r="AV244" s="97"/>
    </row>
    <row r="245" spans="1:67" s="3" customFormat="1" x14ac:dyDescent="0.25">
      <c r="A245" s="60" t="s">
        <v>495</v>
      </c>
      <c r="B245" s="65" t="s">
        <v>231</v>
      </c>
      <c r="C245" s="62">
        <v>2007</v>
      </c>
      <c r="D245" s="1">
        <f t="shared" si="78"/>
        <v>4</v>
      </c>
      <c r="E245" s="283"/>
      <c r="F245" s="278"/>
      <c r="G245" s="120"/>
      <c r="H245" s="290"/>
      <c r="I245" s="261"/>
      <c r="J245" s="246"/>
      <c r="K245" s="241"/>
      <c r="L245" s="231"/>
      <c r="M245" s="231"/>
      <c r="N245" s="267">
        <f t="shared" si="79"/>
        <v>4</v>
      </c>
      <c r="O245" s="120"/>
      <c r="P245" s="96">
        <f t="shared" si="80"/>
        <v>4</v>
      </c>
      <c r="Q245" s="97">
        <f t="shared" si="81"/>
        <v>4</v>
      </c>
      <c r="R245" s="231"/>
      <c r="S245" s="201"/>
      <c r="T245" s="192"/>
      <c r="U245" s="183"/>
      <c r="V245" s="168"/>
      <c r="W245" s="50"/>
      <c r="X245" s="50"/>
      <c r="Y245" s="215">
        <f t="shared" si="83"/>
        <v>4</v>
      </c>
      <c r="Z245" s="120"/>
      <c r="AA245" s="96">
        <f t="shared" si="84"/>
        <v>4</v>
      </c>
      <c r="AB245" s="97">
        <f>IF(C245=2008, AA245/3,AA245)+Z245</f>
        <v>4</v>
      </c>
      <c r="AC245" s="22"/>
      <c r="AD245" s="50"/>
      <c r="AE245" s="50"/>
      <c r="AF245" s="50"/>
      <c r="AG245" s="50"/>
      <c r="AH245" s="50">
        <f>AV245</f>
        <v>12</v>
      </c>
      <c r="AI245" s="120"/>
      <c r="AJ245" s="96">
        <f t="shared" si="86"/>
        <v>12</v>
      </c>
      <c r="AK245" s="97">
        <f>IF(C245=2007, AJ245/3,AJ245)+AI245</f>
        <v>4</v>
      </c>
      <c r="AL245" s="22"/>
      <c r="AM245" s="13"/>
      <c r="AN245" s="13"/>
      <c r="AO245" s="13"/>
      <c r="AP245" s="13"/>
      <c r="AQ245" s="13"/>
      <c r="AR245" s="13">
        <f>12</f>
        <v>12</v>
      </c>
      <c r="AS245" s="13"/>
      <c r="AT245" s="95"/>
      <c r="AU245" s="96">
        <f>SUM(AM245:AS245)</f>
        <v>12</v>
      </c>
      <c r="AV245" s="97">
        <f>IF(C245=2010, AU245/3,AU245)+AT245</f>
        <v>12</v>
      </c>
    </row>
    <row r="246" spans="1:67" s="3" customFormat="1" x14ac:dyDescent="0.25">
      <c r="A246" s="11" t="s">
        <v>786</v>
      </c>
      <c r="B246" s="60" t="s">
        <v>629</v>
      </c>
      <c r="C246" s="62">
        <v>2009</v>
      </c>
      <c r="D246" s="1">
        <f t="shared" si="78"/>
        <v>14</v>
      </c>
      <c r="E246" s="287"/>
      <c r="F246" s="287"/>
      <c r="G246" s="120"/>
      <c r="H246" s="290"/>
      <c r="I246" s="261"/>
      <c r="J246" s="246"/>
      <c r="K246" s="241"/>
      <c r="L246" s="228"/>
      <c r="M246" s="215"/>
      <c r="N246" s="267">
        <f t="shared" si="79"/>
        <v>42</v>
      </c>
      <c r="O246" s="120"/>
      <c r="P246" s="96">
        <f t="shared" si="80"/>
        <v>42</v>
      </c>
      <c r="Q246" s="97">
        <f t="shared" si="81"/>
        <v>14</v>
      </c>
      <c r="R246" s="215"/>
      <c r="S246" s="201"/>
      <c r="T246" s="192"/>
      <c r="U246" s="183"/>
      <c r="V246" s="168"/>
      <c r="W246" s="50">
        <f>24</f>
        <v>24</v>
      </c>
      <c r="X246" s="50">
        <f>18</f>
        <v>18</v>
      </c>
      <c r="Y246" s="215">
        <f t="shared" si="83"/>
        <v>0</v>
      </c>
      <c r="Z246" s="120"/>
      <c r="AA246" s="96">
        <f t="shared" si="84"/>
        <v>42</v>
      </c>
      <c r="AB246" s="97">
        <f>IF(C246=2012, AA246/3,AA246)+Z246</f>
        <v>42</v>
      </c>
      <c r="AC246" s="22"/>
      <c r="AD246" s="50"/>
      <c r="AE246" s="50"/>
      <c r="AF246" s="50"/>
      <c r="AG246" s="50"/>
      <c r="AH246" s="50"/>
      <c r="AI246" s="120"/>
      <c r="AJ246" s="96">
        <f t="shared" si="86"/>
        <v>0</v>
      </c>
      <c r="AK246" s="97"/>
      <c r="AL246" s="22"/>
      <c r="AM246" s="41"/>
      <c r="AN246" s="41"/>
      <c r="AO246" s="41"/>
      <c r="AP246" s="41"/>
      <c r="AQ246" s="41"/>
      <c r="AR246" s="41"/>
      <c r="AS246" s="13"/>
      <c r="AT246" s="95"/>
      <c r="AU246" s="96"/>
      <c r="AV246" s="97"/>
    </row>
    <row r="247" spans="1:67" s="3" customFormat="1" x14ac:dyDescent="0.25">
      <c r="A247" s="60" t="s">
        <v>219</v>
      </c>
      <c r="B247" s="65" t="s">
        <v>86</v>
      </c>
      <c r="C247" s="62">
        <v>2005</v>
      </c>
      <c r="D247" s="1">
        <f t="shared" si="78"/>
        <v>0</v>
      </c>
      <c r="E247" s="287"/>
      <c r="F247" s="287"/>
      <c r="G247" s="120"/>
      <c r="H247" s="290"/>
      <c r="I247" s="267"/>
      <c r="J247" s="267"/>
      <c r="K247" s="267"/>
      <c r="L247" s="267"/>
      <c r="M247" s="267"/>
      <c r="N247" s="267">
        <f t="shared" si="79"/>
        <v>0</v>
      </c>
      <c r="O247" s="120"/>
      <c r="P247" s="96">
        <f t="shared" si="80"/>
        <v>0</v>
      </c>
      <c r="Q247" s="97">
        <f t="shared" si="81"/>
        <v>0</v>
      </c>
      <c r="R247" s="267"/>
      <c r="S247" s="201"/>
      <c r="T247" s="192"/>
      <c r="U247" s="183"/>
      <c r="V247" s="287"/>
      <c r="W247" s="50"/>
      <c r="X247" s="50"/>
      <c r="Y247" s="215">
        <f t="shared" si="83"/>
        <v>0</v>
      </c>
      <c r="Z247" s="120"/>
      <c r="AA247" s="96">
        <f t="shared" si="84"/>
        <v>0</v>
      </c>
      <c r="AB247" s="97">
        <f>IF(C247=2008, AA247/3,AA247)+Z247</f>
        <v>0</v>
      </c>
      <c r="AC247" s="22"/>
      <c r="AD247" s="50"/>
      <c r="AE247" s="50"/>
      <c r="AF247" s="50"/>
      <c r="AG247" s="50"/>
      <c r="AH247" s="50">
        <f>AV247</f>
        <v>0</v>
      </c>
      <c r="AI247" s="120"/>
      <c r="AJ247" s="96">
        <f t="shared" si="86"/>
        <v>0</v>
      </c>
      <c r="AK247" s="97">
        <f>IF(C247=2007, AJ247/3,AJ247)+AI247</f>
        <v>0</v>
      </c>
      <c r="AL247" s="22"/>
      <c r="AM247" s="26"/>
      <c r="AN247" s="26">
        <v>0</v>
      </c>
      <c r="AO247" s="26"/>
      <c r="AP247" s="26"/>
      <c r="AQ247" s="26"/>
      <c r="AR247" s="26"/>
      <c r="AS247" s="26"/>
      <c r="AT247" s="95"/>
      <c r="AU247" s="96">
        <f>SUM(AM247:AS247)</f>
        <v>0</v>
      </c>
      <c r="AV247" s="97">
        <f>IF(C247=2006, AU247/3,AU247)+AT247</f>
        <v>0</v>
      </c>
    </row>
    <row r="248" spans="1:67" s="3" customFormat="1" x14ac:dyDescent="0.25">
      <c r="A248" s="60" t="s">
        <v>523</v>
      </c>
      <c r="B248" s="65" t="s">
        <v>63</v>
      </c>
      <c r="C248" s="62">
        <v>2001</v>
      </c>
      <c r="D248" s="1">
        <f t="shared" si="78"/>
        <v>71</v>
      </c>
      <c r="E248" s="287"/>
      <c r="F248" s="287"/>
      <c r="G248" s="120"/>
      <c r="H248" s="290"/>
      <c r="I248" s="261"/>
      <c r="J248" s="246"/>
      <c r="K248" s="241"/>
      <c r="L248" s="228"/>
      <c r="M248" s="215"/>
      <c r="N248" s="267">
        <f t="shared" si="79"/>
        <v>71</v>
      </c>
      <c r="O248" s="120"/>
      <c r="P248" s="96">
        <f t="shared" si="80"/>
        <v>71</v>
      </c>
      <c r="Q248" s="97">
        <f t="shared" si="81"/>
        <v>71</v>
      </c>
      <c r="R248" s="215"/>
      <c r="S248" s="201"/>
      <c r="T248" s="192"/>
      <c r="U248" s="183"/>
      <c r="V248" s="168">
        <f>9</f>
        <v>9</v>
      </c>
      <c r="W248" s="50">
        <f>9</f>
        <v>9</v>
      </c>
      <c r="X248" s="50"/>
      <c r="Y248" s="215">
        <f t="shared" si="83"/>
        <v>53</v>
      </c>
      <c r="Z248" s="120"/>
      <c r="AA248" s="96">
        <f t="shared" si="84"/>
        <v>71</v>
      </c>
      <c r="AB248" s="97">
        <f>IF(C248=2008, AA248/3,AA248)+Z248</f>
        <v>71</v>
      </c>
      <c r="AC248" s="22"/>
      <c r="AD248" s="50"/>
      <c r="AE248" s="50"/>
      <c r="AF248" s="50">
        <f>6</f>
        <v>6</v>
      </c>
      <c r="AG248" s="50">
        <f>6+3+3</f>
        <v>12</v>
      </c>
      <c r="AH248" s="50">
        <f>AV248</f>
        <v>35</v>
      </c>
      <c r="AI248" s="120"/>
      <c r="AJ248" s="96">
        <f t="shared" si="86"/>
        <v>53</v>
      </c>
      <c r="AK248" s="97">
        <f>IF(C248=2007, AJ248/3,AJ248)+AI248</f>
        <v>53</v>
      </c>
      <c r="AL248" s="22"/>
      <c r="AM248" s="26"/>
      <c r="AN248" s="26"/>
      <c r="AO248" s="26"/>
      <c r="AP248" s="26"/>
      <c r="AQ248" s="26"/>
      <c r="AR248" s="26">
        <f>3+3+6</f>
        <v>12</v>
      </c>
      <c r="AS248" s="26">
        <f>23</f>
        <v>23</v>
      </c>
      <c r="AT248" s="95"/>
      <c r="AU248" s="96">
        <f>SUM(AM248:AS248)</f>
        <v>35</v>
      </c>
      <c r="AV248" s="97">
        <f>IF(C248=2006, AU248/3,AU248)+AT248</f>
        <v>35</v>
      </c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</row>
    <row r="249" spans="1:67" s="3" customFormat="1" x14ac:dyDescent="0.25">
      <c r="A249" s="53" t="s">
        <v>779</v>
      </c>
      <c r="B249" s="84" t="s">
        <v>629</v>
      </c>
      <c r="C249" s="54">
        <v>2008</v>
      </c>
      <c r="D249" s="1">
        <f t="shared" si="78"/>
        <v>5.333333333333333</v>
      </c>
      <c r="E249" s="283"/>
      <c r="F249" s="278"/>
      <c r="G249" s="120"/>
      <c r="H249" s="290"/>
      <c r="I249" s="287">
        <f>0</f>
        <v>0</v>
      </c>
      <c r="J249" s="287">
        <f>0</f>
        <v>0</v>
      </c>
      <c r="K249" s="287"/>
      <c r="L249" s="287"/>
      <c r="M249" s="287"/>
      <c r="N249" s="267">
        <f t="shared" si="79"/>
        <v>5.333333333333333</v>
      </c>
      <c r="O249" s="120"/>
      <c r="P249" s="96">
        <f t="shared" si="80"/>
        <v>5.333333333333333</v>
      </c>
      <c r="Q249" s="97">
        <f t="shared" si="81"/>
        <v>5.333333333333333</v>
      </c>
      <c r="R249" s="287"/>
      <c r="S249" s="201"/>
      <c r="T249" s="192"/>
      <c r="U249" s="183"/>
      <c r="V249" s="168"/>
      <c r="W249" s="50"/>
      <c r="X249" s="50">
        <f>16</f>
        <v>16</v>
      </c>
      <c r="Y249" s="215">
        <f t="shared" si="83"/>
        <v>0</v>
      </c>
      <c r="Z249" s="120"/>
      <c r="AA249" s="96">
        <f t="shared" si="84"/>
        <v>16</v>
      </c>
      <c r="AB249" s="97">
        <f>IF(C249=2008, AA249/3,AA249)+Z249</f>
        <v>5.333333333333333</v>
      </c>
      <c r="AC249" s="22"/>
      <c r="AD249" s="50"/>
      <c r="AE249" s="50"/>
      <c r="AF249" s="50"/>
      <c r="AG249" s="50"/>
      <c r="AH249" s="50"/>
      <c r="AI249" s="120"/>
      <c r="AJ249" s="96"/>
      <c r="AK249" s="97"/>
      <c r="AL249" s="22"/>
      <c r="AM249" s="41"/>
      <c r="AN249" s="41"/>
      <c r="AO249" s="41"/>
      <c r="AP249" s="41"/>
      <c r="AQ249" s="41"/>
      <c r="AR249" s="41"/>
      <c r="AS249" s="41"/>
      <c r="AT249" s="95"/>
      <c r="AU249" s="96"/>
      <c r="AV249" s="97"/>
    </row>
    <row r="250" spans="1:67" s="3" customFormat="1" x14ac:dyDescent="0.25">
      <c r="A250" s="51" t="s">
        <v>18</v>
      </c>
      <c r="B250" s="65" t="s">
        <v>63</v>
      </c>
      <c r="C250" s="52">
        <v>2009</v>
      </c>
      <c r="D250" s="1">
        <f t="shared" si="78"/>
        <v>230.7777777777778</v>
      </c>
      <c r="E250" s="283"/>
      <c r="F250" s="278"/>
      <c r="G250" s="120"/>
      <c r="H250" s="290"/>
      <c r="I250" s="261"/>
      <c r="J250" s="246"/>
      <c r="K250" s="241"/>
      <c r="L250" s="228"/>
      <c r="M250" s="215"/>
      <c r="N250" s="267">
        <f t="shared" si="79"/>
        <v>692.33333333333337</v>
      </c>
      <c r="O250" s="120"/>
      <c r="P250" s="96">
        <f t="shared" si="80"/>
        <v>692.33333333333337</v>
      </c>
      <c r="Q250" s="97">
        <f t="shared" si="81"/>
        <v>230.7777777777778</v>
      </c>
      <c r="R250" s="215"/>
      <c r="S250" s="201"/>
      <c r="T250" s="192"/>
      <c r="U250" s="183"/>
      <c r="V250" s="215">
        <f>0</f>
        <v>0</v>
      </c>
      <c r="W250" s="50">
        <f>21+9</f>
        <v>30</v>
      </c>
      <c r="X250" s="50"/>
      <c r="Y250" s="215">
        <f t="shared" si="83"/>
        <v>653.33333333333337</v>
      </c>
      <c r="Z250" s="120">
        <f>9</f>
        <v>9</v>
      </c>
      <c r="AA250" s="96">
        <f t="shared" si="84"/>
        <v>683.33333333333337</v>
      </c>
      <c r="AB250" s="97">
        <f>IF(C250=2012, AA250/3,AA250)+Z250</f>
        <v>692.33333333333337</v>
      </c>
      <c r="AC250" s="22"/>
      <c r="AD250" s="50"/>
      <c r="AE250" s="50">
        <f>33</f>
        <v>33</v>
      </c>
      <c r="AF250" s="50">
        <f>207+69</f>
        <v>276</v>
      </c>
      <c r="AG250" s="50">
        <f>21+15</f>
        <v>36</v>
      </c>
      <c r="AH250" s="50">
        <f t="shared" ref="AH250:AH255" si="87">AV250</f>
        <v>305.33333333333337</v>
      </c>
      <c r="AI250" s="120">
        <f>3</f>
        <v>3</v>
      </c>
      <c r="AJ250" s="96">
        <f t="shared" ref="AJ250:AJ260" si="88">SUM(AD250:AH250)</f>
        <v>650.33333333333337</v>
      </c>
      <c r="AK250" s="97">
        <f t="shared" ref="AK250:AK258" si="89">IF(C250=2011, AJ250/3,AJ250)+AI250</f>
        <v>653.33333333333337</v>
      </c>
      <c r="AL250" s="22"/>
      <c r="AM250" s="267">
        <f>3</f>
        <v>3</v>
      </c>
      <c r="AN250" s="267">
        <f>36</f>
        <v>36</v>
      </c>
      <c r="AO250" s="267"/>
      <c r="AP250" s="267">
        <f>24+12</f>
        <v>36</v>
      </c>
      <c r="AQ250" s="267">
        <f>3</f>
        <v>3</v>
      </c>
      <c r="AR250" s="267">
        <f>39+6</f>
        <v>45</v>
      </c>
      <c r="AS250" s="267">
        <v>176.33333333333334</v>
      </c>
      <c r="AT250" s="95">
        <f>6</f>
        <v>6</v>
      </c>
      <c r="AU250" s="96">
        <f t="shared" ref="AU250:AU255" si="90">SUM(AM250:AS250)</f>
        <v>299.33333333333337</v>
      </c>
      <c r="AV250" s="97">
        <f t="shared" ref="AV250:AV255" si="91">IF(C250=2010, AU250/3,AU250)+AT250</f>
        <v>305.33333333333337</v>
      </c>
    </row>
    <row r="251" spans="1:67" s="3" customFormat="1" x14ac:dyDescent="0.25">
      <c r="A251" s="53" t="s">
        <v>56</v>
      </c>
      <c r="B251" s="86" t="s">
        <v>36</v>
      </c>
      <c r="C251" s="52">
        <v>2008</v>
      </c>
      <c r="D251" s="1">
        <f t="shared" si="78"/>
        <v>105</v>
      </c>
      <c r="E251" s="283"/>
      <c r="F251" s="278"/>
      <c r="G251" s="120"/>
      <c r="H251" s="13"/>
      <c r="I251" s="154"/>
      <c r="J251" s="154">
        <f>0</f>
        <v>0</v>
      </c>
      <c r="K251" s="154">
        <f>6</f>
        <v>6</v>
      </c>
      <c r="L251" s="154"/>
      <c r="M251" s="154"/>
      <c r="N251" s="267">
        <f t="shared" si="79"/>
        <v>99</v>
      </c>
      <c r="O251" s="122"/>
      <c r="P251" s="96">
        <f t="shared" si="80"/>
        <v>105</v>
      </c>
      <c r="Q251" s="97">
        <f t="shared" si="81"/>
        <v>105</v>
      </c>
      <c r="R251" s="154"/>
      <c r="S251" s="201"/>
      <c r="T251" s="192"/>
      <c r="U251" s="183"/>
      <c r="V251" s="168">
        <f>3</f>
        <v>3</v>
      </c>
      <c r="W251" s="50">
        <f>9</f>
        <v>9</v>
      </c>
      <c r="X251" s="50"/>
      <c r="Y251" s="215">
        <f t="shared" si="83"/>
        <v>195</v>
      </c>
      <c r="Z251" s="120">
        <f>12+12+6</f>
        <v>30</v>
      </c>
      <c r="AA251" s="96">
        <f t="shared" si="84"/>
        <v>207</v>
      </c>
      <c r="AB251" s="97">
        <f>IF(C251=2008, AA251/3,AA251)+Z251</f>
        <v>99</v>
      </c>
      <c r="AC251" s="22"/>
      <c r="AD251" s="50">
        <f>42</f>
        <v>42</v>
      </c>
      <c r="AE251" s="50">
        <f>36</f>
        <v>36</v>
      </c>
      <c r="AF251" s="50">
        <f>42</f>
        <v>42</v>
      </c>
      <c r="AG251" s="50">
        <f>16</f>
        <v>16</v>
      </c>
      <c r="AH251" s="50">
        <f t="shared" si="87"/>
        <v>53</v>
      </c>
      <c r="AI251" s="120">
        <f>6</f>
        <v>6</v>
      </c>
      <c r="AJ251" s="96">
        <f t="shared" si="88"/>
        <v>189</v>
      </c>
      <c r="AK251" s="97">
        <f t="shared" si="89"/>
        <v>195</v>
      </c>
      <c r="AL251" s="22"/>
      <c r="AM251" s="41">
        <v>3</v>
      </c>
      <c r="AN251" s="41"/>
      <c r="AO251" s="41">
        <f>2</f>
        <v>2</v>
      </c>
      <c r="AP251" s="41"/>
      <c r="AQ251" s="41">
        <f>12+3</f>
        <v>15</v>
      </c>
      <c r="AR251" s="41">
        <f>21+12</f>
        <v>33</v>
      </c>
      <c r="AS251" s="41"/>
      <c r="AT251" s="95"/>
      <c r="AU251" s="96">
        <f t="shared" si="90"/>
        <v>53</v>
      </c>
      <c r="AV251" s="97">
        <f t="shared" si="91"/>
        <v>53</v>
      </c>
    </row>
    <row r="252" spans="1:67" s="3" customFormat="1" x14ac:dyDescent="0.25">
      <c r="A252" s="51" t="s">
        <v>21</v>
      </c>
      <c r="B252" s="84" t="s">
        <v>7</v>
      </c>
      <c r="C252" s="52">
        <v>2009</v>
      </c>
      <c r="D252" s="1">
        <f t="shared" si="78"/>
        <v>21.888888888888889</v>
      </c>
      <c r="E252" s="283"/>
      <c r="F252" s="278"/>
      <c r="G252" s="120"/>
      <c r="H252" s="13"/>
      <c r="I252" s="154"/>
      <c r="J252" s="154"/>
      <c r="K252" s="154"/>
      <c r="L252" s="154"/>
      <c r="M252" s="154"/>
      <c r="N252" s="267">
        <f t="shared" si="79"/>
        <v>65.666666666666671</v>
      </c>
      <c r="O252" s="120"/>
      <c r="P252" s="96">
        <f t="shared" si="80"/>
        <v>65.666666666666671</v>
      </c>
      <c r="Q252" s="97">
        <f t="shared" si="81"/>
        <v>21.888888888888889</v>
      </c>
      <c r="R252" s="154"/>
      <c r="S252" s="201"/>
      <c r="T252" s="192"/>
      <c r="U252" s="183"/>
      <c r="V252" s="168"/>
      <c r="W252" s="50"/>
      <c r="X252" s="50"/>
      <c r="Y252" s="215">
        <f t="shared" si="83"/>
        <v>65.666666666666671</v>
      </c>
      <c r="Z252" s="120"/>
      <c r="AA252" s="96">
        <f t="shared" si="84"/>
        <v>65.666666666666671</v>
      </c>
      <c r="AB252" s="97">
        <f>IF(C252=2012, AA252/3,AA252)+Z252</f>
        <v>65.666666666666671</v>
      </c>
      <c r="AC252" s="22"/>
      <c r="AD252" s="50"/>
      <c r="AE252" s="50"/>
      <c r="AF252" s="50"/>
      <c r="AG252" s="50"/>
      <c r="AH252" s="50">
        <f t="shared" si="87"/>
        <v>65.666666666666671</v>
      </c>
      <c r="AI252" s="120"/>
      <c r="AJ252" s="96">
        <f t="shared" si="88"/>
        <v>65.666666666666671</v>
      </c>
      <c r="AK252" s="97">
        <f t="shared" si="89"/>
        <v>65.666666666666671</v>
      </c>
      <c r="AL252" s="22"/>
      <c r="AM252" s="287">
        <f>0</f>
        <v>0</v>
      </c>
      <c r="AN252" s="287"/>
      <c r="AO252" s="287"/>
      <c r="AP252" s="287">
        <f>0</f>
        <v>0</v>
      </c>
      <c r="AQ252" s="287"/>
      <c r="AR252" s="287"/>
      <c r="AS252" s="287">
        <v>65.666666666666671</v>
      </c>
      <c r="AT252" s="95"/>
      <c r="AU252" s="96">
        <f t="shared" si="90"/>
        <v>65.666666666666671</v>
      </c>
      <c r="AV252" s="97">
        <f t="shared" si="91"/>
        <v>65.666666666666671</v>
      </c>
    </row>
    <row r="253" spans="1:67" s="3" customFormat="1" x14ac:dyDescent="0.25">
      <c r="A253" s="53" t="s">
        <v>510</v>
      </c>
      <c r="B253" s="86" t="s">
        <v>86</v>
      </c>
      <c r="C253" s="52">
        <v>2008</v>
      </c>
      <c r="D253" s="1">
        <f t="shared" si="78"/>
        <v>31</v>
      </c>
      <c r="E253" s="283"/>
      <c r="F253" s="278"/>
      <c r="G253" s="120"/>
      <c r="H253" s="13"/>
      <c r="I253" s="261"/>
      <c r="J253" s="246"/>
      <c r="K253" s="241"/>
      <c r="L253" s="228"/>
      <c r="M253" s="215"/>
      <c r="N253" s="267">
        <f t="shared" si="79"/>
        <v>31</v>
      </c>
      <c r="O253" s="152"/>
      <c r="P253" s="96">
        <f t="shared" si="80"/>
        <v>31</v>
      </c>
      <c r="Q253" s="97">
        <f t="shared" si="81"/>
        <v>31</v>
      </c>
      <c r="R253" s="215"/>
      <c r="S253" s="201"/>
      <c r="T253" s="192"/>
      <c r="U253" s="183"/>
      <c r="V253" s="168"/>
      <c r="W253" s="50">
        <f>9+6</f>
        <v>15</v>
      </c>
      <c r="X253" s="50"/>
      <c r="Y253" s="215">
        <f t="shared" si="83"/>
        <v>78</v>
      </c>
      <c r="Z253" s="120"/>
      <c r="AA253" s="96">
        <f t="shared" si="84"/>
        <v>93</v>
      </c>
      <c r="AB253" s="97">
        <f>IF(C253=2008, AA253/3,AA253)+Z253</f>
        <v>31</v>
      </c>
      <c r="AC253" s="22"/>
      <c r="AD253" s="50"/>
      <c r="AE253" s="50"/>
      <c r="AF253" s="50"/>
      <c r="AG253" s="50"/>
      <c r="AH253" s="50">
        <f t="shared" si="87"/>
        <v>78</v>
      </c>
      <c r="AI253" s="120"/>
      <c r="AJ253" s="96">
        <f t="shared" si="88"/>
        <v>78</v>
      </c>
      <c r="AK253" s="97">
        <f t="shared" si="89"/>
        <v>78</v>
      </c>
      <c r="AL253" s="22"/>
      <c r="AM253" s="41"/>
      <c r="AN253" s="41"/>
      <c r="AO253" s="41"/>
      <c r="AP253" s="41"/>
      <c r="AQ253" s="41"/>
      <c r="AR253" s="41"/>
      <c r="AS253" s="41">
        <f>75</f>
        <v>75</v>
      </c>
      <c r="AT253" s="95">
        <f>3</f>
        <v>3</v>
      </c>
      <c r="AU253" s="96">
        <f t="shared" si="90"/>
        <v>75</v>
      </c>
      <c r="AV253" s="97">
        <f t="shared" si="91"/>
        <v>78</v>
      </c>
    </row>
    <row r="254" spans="1:67" s="3" customFormat="1" x14ac:dyDescent="0.25">
      <c r="A254" s="60" t="s">
        <v>179</v>
      </c>
      <c r="B254" s="85" t="s">
        <v>64</v>
      </c>
      <c r="C254" s="62">
        <v>2009</v>
      </c>
      <c r="D254" s="1">
        <f t="shared" si="78"/>
        <v>105.66666666666667</v>
      </c>
      <c r="E254" s="287"/>
      <c r="F254" s="287"/>
      <c r="G254" s="120"/>
      <c r="H254" s="13"/>
      <c r="I254" s="261"/>
      <c r="J254" s="246"/>
      <c r="K254" s="241"/>
      <c r="L254" s="228"/>
      <c r="M254" s="215"/>
      <c r="N254" s="267">
        <f t="shared" si="79"/>
        <v>317</v>
      </c>
      <c r="O254" s="120"/>
      <c r="P254" s="96">
        <f t="shared" si="80"/>
        <v>317</v>
      </c>
      <c r="Q254" s="97">
        <f t="shared" si="81"/>
        <v>105.66666666666667</v>
      </c>
      <c r="R254" s="215"/>
      <c r="S254" s="201"/>
      <c r="T254" s="192"/>
      <c r="U254" s="183"/>
      <c r="V254" s="168"/>
      <c r="W254" s="50"/>
      <c r="X254" s="50"/>
      <c r="Y254" s="215">
        <f t="shared" si="83"/>
        <v>317</v>
      </c>
      <c r="Z254" s="120"/>
      <c r="AA254" s="96">
        <f t="shared" si="84"/>
        <v>317</v>
      </c>
      <c r="AB254" s="97">
        <f>IF(C254=2012, AA254/3,AA254)+Z254</f>
        <v>317</v>
      </c>
      <c r="AC254" s="22"/>
      <c r="AD254" s="50"/>
      <c r="AE254" s="50">
        <f>24</f>
        <v>24</v>
      </c>
      <c r="AF254" s="50"/>
      <c r="AG254" s="50"/>
      <c r="AH254" s="50">
        <f t="shared" si="87"/>
        <v>293</v>
      </c>
      <c r="AI254" s="120"/>
      <c r="AJ254" s="96">
        <f t="shared" si="88"/>
        <v>317</v>
      </c>
      <c r="AK254" s="97">
        <f t="shared" si="89"/>
        <v>317</v>
      </c>
      <c r="AL254" s="22"/>
      <c r="AM254" s="13"/>
      <c r="AN254" s="13">
        <v>15</v>
      </c>
      <c r="AO254" s="13"/>
      <c r="AP254" s="13"/>
      <c r="AQ254" s="13"/>
      <c r="AR254" s="13"/>
      <c r="AS254" s="13">
        <f>278</f>
        <v>278</v>
      </c>
      <c r="AT254" s="95"/>
      <c r="AU254" s="96">
        <f t="shared" si="90"/>
        <v>293</v>
      </c>
      <c r="AV254" s="97">
        <f t="shared" si="91"/>
        <v>293</v>
      </c>
    </row>
    <row r="255" spans="1:67" s="3" customFormat="1" x14ac:dyDescent="0.25">
      <c r="A255" s="53" t="s">
        <v>434</v>
      </c>
      <c r="B255" s="86" t="s">
        <v>111</v>
      </c>
      <c r="C255" s="52">
        <v>2009</v>
      </c>
      <c r="D255" s="1">
        <f t="shared" si="78"/>
        <v>27</v>
      </c>
      <c r="E255" s="283"/>
      <c r="F255" s="278"/>
      <c r="G255" s="120"/>
      <c r="H255" s="13"/>
      <c r="I255" s="154"/>
      <c r="J255" s="154"/>
      <c r="K255" s="154"/>
      <c r="L255" s="154"/>
      <c r="M255" s="154"/>
      <c r="N255" s="267">
        <f t="shared" si="79"/>
        <v>81</v>
      </c>
      <c r="O255" s="120"/>
      <c r="P255" s="96">
        <f t="shared" si="80"/>
        <v>81</v>
      </c>
      <c r="Q255" s="97">
        <f t="shared" si="81"/>
        <v>27</v>
      </c>
      <c r="R255" s="154"/>
      <c r="S255" s="201"/>
      <c r="T255" s="192"/>
      <c r="U255" s="183"/>
      <c r="V255" s="231"/>
      <c r="W255" s="50"/>
      <c r="X255" s="50"/>
      <c r="Y255" s="215">
        <f t="shared" si="83"/>
        <v>81</v>
      </c>
      <c r="Z255" s="120"/>
      <c r="AA255" s="96">
        <f t="shared" si="84"/>
        <v>81</v>
      </c>
      <c r="AB255" s="97">
        <f>IF(C255=2012, AA255/3,AA255)+Z255</f>
        <v>81</v>
      </c>
      <c r="AC255" s="22"/>
      <c r="AD255" s="50"/>
      <c r="AE255" s="50"/>
      <c r="AF255" s="50">
        <f>22+13</f>
        <v>35</v>
      </c>
      <c r="AG255" s="50">
        <f>21</f>
        <v>21</v>
      </c>
      <c r="AH255" s="50">
        <f t="shared" si="87"/>
        <v>25</v>
      </c>
      <c r="AI255" s="120"/>
      <c r="AJ255" s="96">
        <f t="shared" si="88"/>
        <v>81</v>
      </c>
      <c r="AK255" s="97">
        <f t="shared" si="89"/>
        <v>81</v>
      </c>
      <c r="AL255" s="22"/>
      <c r="AM255" s="41"/>
      <c r="AN255" s="41"/>
      <c r="AO255" s="41"/>
      <c r="AP255" s="41"/>
      <c r="AQ255" s="41">
        <f>10</f>
        <v>10</v>
      </c>
      <c r="AR255" s="41">
        <f>15</f>
        <v>15</v>
      </c>
      <c r="AS255" s="41"/>
      <c r="AT255" s="95"/>
      <c r="AU255" s="96">
        <f t="shared" si="90"/>
        <v>25</v>
      </c>
      <c r="AV255" s="97">
        <f t="shared" si="91"/>
        <v>25</v>
      </c>
    </row>
    <row r="256" spans="1:67" s="3" customFormat="1" x14ac:dyDescent="0.25">
      <c r="A256" s="53" t="s">
        <v>1049</v>
      </c>
      <c r="B256" s="11" t="s">
        <v>994</v>
      </c>
      <c r="C256" s="54">
        <v>2009</v>
      </c>
      <c r="D256" s="1">
        <f t="shared" si="78"/>
        <v>0</v>
      </c>
      <c r="E256" s="283"/>
      <c r="F256" s="278"/>
      <c r="G256" s="120"/>
      <c r="H256" s="13"/>
      <c r="I256" s="261"/>
      <c r="J256" s="246"/>
      <c r="K256" s="241"/>
      <c r="L256" s="231"/>
      <c r="M256" s="231"/>
      <c r="N256" s="267">
        <f t="shared" si="79"/>
        <v>0</v>
      </c>
      <c r="O256" s="120"/>
      <c r="P256" s="96">
        <f t="shared" si="80"/>
        <v>0</v>
      </c>
      <c r="Q256" s="97">
        <f t="shared" si="81"/>
        <v>0</v>
      </c>
      <c r="R256" s="231"/>
      <c r="S256" s="201">
        <f>0</f>
        <v>0</v>
      </c>
      <c r="T256" s="192"/>
      <c r="U256" s="183"/>
      <c r="V256" s="168"/>
      <c r="W256" s="50"/>
      <c r="X256" s="50"/>
      <c r="Y256" s="215">
        <f t="shared" si="83"/>
        <v>0</v>
      </c>
      <c r="Z256" s="120"/>
      <c r="AA256" s="96">
        <f t="shared" si="84"/>
        <v>0</v>
      </c>
      <c r="AB256" s="97">
        <f>IF(C256=2012, AA256/3,AA256)+Z256</f>
        <v>0</v>
      </c>
      <c r="AC256" s="22"/>
      <c r="AD256" s="50"/>
      <c r="AE256" s="50"/>
      <c r="AF256" s="50"/>
      <c r="AG256" s="50"/>
      <c r="AH256" s="50"/>
      <c r="AI256" s="120"/>
      <c r="AJ256" s="96">
        <f t="shared" si="88"/>
        <v>0</v>
      </c>
      <c r="AK256" s="97">
        <f t="shared" si="89"/>
        <v>0</v>
      </c>
      <c r="AL256" s="22"/>
      <c r="AM256" s="41"/>
      <c r="AN256" s="41"/>
      <c r="AO256" s="41"/>
      <c r="AP256" s="41"/>
      <c r="AQ256" s="41"/>
      <c r="AR256" s="41"/>
      <c r="AS256" s="41"/>
      <c r="AT256" s="95"/>
      <c r="AU256" s="96"/>
      <c r="AV256" s="97"/>
    </row>
    <row r="257" spans="1:67" s="3" customFormat="1" x14ac:dyDescent="0.25">
      <c r="A257" s="60" t="s">
        <v>901</v>
      </c>
      <c r="B257" s="65" t="s">
        <v>64</v>
      </c>
      <c r="C257" s="62">
        <v>2009</v>
      </c>
      <c r="D257" s="1">
        <f t="shared" si="78"/>
        <v>4.333333333333333</v>
      </c>
      <c r="E257" s="283"/>
      <c r="F257" s="278"/>
      <c r="G257" s="120"/>
      <c r="H257" s="13"/>
      <c r="I257" s="261">
        <f>0</f>
        <v>0</v>
      </c>
      <c r="J257" s="246"/>
      <c r="K257" s="241"/>
      <c r="L257" s="228"/>
      <c r="M257" s="215"/>
      <c r="N257" s="267">
        <f t="shared" si="79"/>
        <v>13</v>
      </c>
      <c r="O257" s="120"/>
      <c r="P257" s="96">
        <f t="shared" si="80"/>
        <v>13</v>
      </c>
      <c r="Q257" s="97">
        <f t="shared" si="81"/>
        <v>4.333333333333333</v>
      </c>
      <c r="R257" s="215"/>
      <c r="S257" s="201"/>
      <c r="T257" s="192"/>
      <c r="U257" s="183"/>
      <c r="V257" s="267">
        <f>10+3</f>
        <v>13</v>
      </c>
      <c r="W257" s="50"/>
      <c r="X257" s="50"/>
      <c r="Y257" s="215">
        <f t="shared" si="83"/>
        <v>0</v>
      </c>
      <c r="Z257" s="120"/>
      <c r="AA257" s="96">
        <f t="shared" si="84"/>
        <v>13</v>
      </c>
      <c r="AB257" s="97">
        <f>IF(C257=2012, AA257/3,AA257)+Z257</f>
        <v>13</v>
      </c>
      <c r="AC257" s="22"/>
      <c r="AD257" s="50"/>
      <c r="AE257" s="50"/>
      <c r="AF257" s="50"/>
      <c r="AG257" s="50"/>
      <c r="AH257" s="50"/>
      <c r="AI257" s="120"/>
      <c r="AJ257" s="96">
        <f t="shared" si="88"/>
        <v>0</v>
      </c>
      <c r="AK257" s="97">
        <f t="shared" si="89"/>
        <v>0</v>
      </c>
      <c r="AL257" s="22"/>
      <c r="AM257" s="13"/>
      <c r="AN257" s="13"/>
      <c r="AO257" s="13"/>
      <c r="AP257" s="13"/>
      <c r="AQ257" s="13"/>
      <c r="AR257" s="13"/>
      <c r="AS257" s="13"/>
      <c r="AT257" s="95"/>
      <c r="AU257" s="96"/>
      <c r="AV257" s="97"/>
    </row>
    <row r="258" spans="1:67" s="3" customFormat="1" x14ac:dyDescent="0.25">
      <c r="A258" s="60" t="s">
        <v>180</v>
      </c>
      <c r="B258" s="65" t="s">
        <v>87</v>
      </c>
      <c r="C258" s="62">
        <v>2008</v>
      </c>
      <c r="D258" s="1">
        <f t="shared" si="78"/>
        <v>4</v>
      </c>
      <c r="E258" s="283"/>
      <c r="F258" s="278"/>
      <c r="G258" s="120"/>
      <c r="H258" s="13"/>
      <c r="I258" s="267"/>
      <c r="J258" s="267"/>
      <c r="K258" s="267"/>
      <c r="L258" s="267"/>
      <c r="M258" s="267"/>
      <c r="N258" s="267">
        <f t="shared" si="79"/>
        <v>4</v>
      </c>
      <c r="O258" s="120"/>
      <c r="P258" s="96">
        <f t="shared" si="80"/>
        <v>4</v>
      </c>
      <c r="Q258" s="97">
        <f t="shared" si="81"/>
        <v>4</v>
      </c>
      <c r="R258" s="267"/>
      <c r="S258" s="201"/>
      <c r="T258" s="192"/>
      <c r="U258" s="183"/>
      <c r="V258" s="168"/>
      <c r="W258" s="50"/>
      <c r="X258" s="50"/>
      <c r="Y258" s="215">
        <f t="shared" si="83"/>
        <v>12</v>
      </c>
      <c r="Z258" s="120"/>
      <c r="AA258" s="96">
        <f t="shared" si="84"/>
        <v>12</v>
      </c>
      <c r="AB258" s="97">
        <f t="shared" ref="AB258:AB263" si="92">IF(C258=2008, AA258/3,AA258)+Z258</f>
        <v>4</v>
      </c>
      <c r="AC258" s="22"/>
      <c r="AD258" s="50"/>
      <c r="AE258" s="50"/>
      <c r="AF258" s="50"/>
      <c r="AG258" s="50"/>
      <c r="AH258" s="50">
        <f>AV258</f>
        <v>12</v>
      </c>
      <c r="AI258" s="120"/>
      <c r="AJ258" s="96">
        <f t="shared" si="88"/>
        <v>12</v>
      </c>
      <c r="AK258" s="97">
        <f t="shared" si="89"/>
        <v>12</v>
      </c>
      <c r="AL258" s="22"/>
      <c r="AM258" s="13"/>
      <c r="AN258" s="13">
        <f>12</f>
        <v>12</v>
      </c>
      <c r="AO258" s="13"/>
      <c r="AP258" s="13"/>
      <c r="AQ258" s="13"/>
      <c r="AR258" s="13"/>
      <c r="AS258" s="13"/>
      <c r="AT258" s="95"/>
      <c r="AU258" s="96">
        <f>SUM(AM258:AS258)</f>
        <v>12</v>
      </c>
      <c r="AV258" s="97">
        <f>IF(C258=2010, AU258/3,AU258)+AT258</f>
        <v>12</v>
      </c>
    </row>
    <row r="259" spans="1:67" s="3" customFormat="1" x14ac:dyDescent="0.25">
      <c r="A259" s="60" t="s">
        <v>579</v>
      </c>
      <c r="B259" s="65" t="s">
        <v>547</v>
      </c>
      <c r="C259" s="62">
        <v>2007</v>
      </c>
      <c r="D259" s="1">
        <f t="shared" si="78"/>
        <v>32</v>
      </c>
      <c r="E259" s="283"/>
      <c r="F259" s="278"/>
      <c r="G259" s="120"/>
      <c r="H259" s="13"/>
      <c r="I259" s="261"/>
      <c r="J259" s="246"/>
      <c r="K259" s="241"/>
      <c r="L259" s="228"/>
      <c r="M259" s="215"/>
      <c r="N259" s="267">
        <f t="shared" si="79"/>
        <v>32</v>
      </c>
      <c r="O259" s="152"/>
      <c r="P259" s="96">
        <f t="shared" si="80"/>
        <v>32</v>
      </c>
      <c r="Q259" s="97">
        <f t="shared" si="81"/>
        <v>32</v>
      </c>
      <c r="R259" s="215"/>
      <c r="S259" s="201"/>
      <c r="T259" s="192"/>
      <c r="U259" s="183"/>
      <c r="V259" s="168"/>
      <c r="W259" s="50"/>
      <c r="X259" s="50"/>
      <c r="Y259" s="215">
        <f t="shared" si="83"/>
        <v>32</v>
      </c>
      <c r="Z259" s="120"/>
      <c r="AA259" s="96">
        <f t="shared" si="84"/>
        <v>32</v>
      </c>
      <c r="AB259" s="97">
        <f t="shared" si="92"/>
        <v>32</v>
      </c>
      <c r="AC259" s="22"/>
      <c r="AD259" s="50"/>
      <c r="AE259" s="50">
        <f>30+12</f>
        <v>42</v>
      </c>
      <c r="AF259" s="50"/>
      <c r="AG259" s="50">
        <f>6+3</f>
        <v>9</v>
      </c>
      <c r="AH259" s="50">
        <f>AV259</f>
        <v>45</v>
      </c>
      <c r="AI259" s="120"/>
      <c r="AJ259" s="96">
        <f t="shared" si="88"/>
        <v>96</v>
      </c>
      <c r="AK259" s="97">
        <f>IF(C259=2007, AJ259/3,AJ259)+AI259</f>
        <v>32</v>
      </c>
      <c r="AL259" s="22"/>
      <c r="AM259" s="13"/>
      <c r="AN259" s="13">
        <f>21+24</f>
        <v>45</v>
      </c>
      <c r="AO259" s="13"/>
      <c r="AP259" s="13"/>
      <c r="AQ259" s="13"/>
      <c r="AR259" s="13"/>
      <c r="AS259" s="13"/>
      <c r="AT259" s="95"/>
      <c r="AU259" s="96">
        <f>SUM(AM259:AS259)</f>
        <v>45</v>
      </c>
      <c r="AV259" s="97">
        <f>IF(C259=2010, AU259/3,AU259)+AT259</f>
        <v>45</v>
      </c>
    </row>
    <row r="260" spans="1:67" s="3" customFormat="1" x14ac:dyDescent="0.25">
      <c r="A260" s="60" t="s">
        <v>189</v>
      </c>
      <c r="B260" s="85" t="s">
        <v>64</v>
      </c>
      <c r="C260" s="62">
        <v>2007</v>
      </c>
      <c r="D260" s="1">
        <f t="shared" si="78"/>
        <v>14</v>
      </c>
      <c r="E260" s="283"/>
      <c r="F260" s="278"/>
      <c r="G260" s="120"/>
      <c r="H260" s="13"/>
      <c r="I260" s="261">
        <f>0</f>
        <v>0</v>
      </c>
      <c r="J260" s="246"/>
      <c r="K260" s="241"/>
      <c r="L260" s="228"/>
      <c r="M260" s="215"/>
      <c r="N260" s="267">
        <f t="shared" si="79"/>
        <v>14</v>
      </c>
      <c r="O260" s="152"/>
      <c r="P260" s="96">
        <f t="shared" si="80"/>
        <v>14</v>
      </c>
      <c r="Q260" s="97">
        <f t="shared" si="81"/>
        <v>14</v>
      </c>
      <c r="R260" s="215"/>
      <c r="S260" s="201"/>
      <c r="T260" s="192"/>
      <c r="U260" s="183"/>
      <c r="V260" s="168"/>
      <c r="W260" s="50">
        <f>0+3+3</f>
        <v>6</v>
      </c>
      <c r="X260" s="50"/>
      <c r="Y260" s="215">
        <f t="shared" si="83"/>
        <v>8</v>
      </c>
      <c r="Z260" s="120"/>
      <c r="AA260" s="96">
        <f t="shared" si="84"/>
        <v>14</v>
      </c>
      <c r="AB260" s="97">
        <f t="shared" si="92"/>
        <v>14</v>
      </c>
      <c r="AC260" s="22"/>
      <c r="AD260" s="50"/>
      <c r="AE260" s="50"/>
      <c r="AF260" s="50"/>
      <c r="AG260" s="50"/>
      <c r="AH260" s="50">
        <f>AV260</f>
        <v>24</v>
      </c>
      <c r="AI260" s="120"/>
      <c r="AJ260" s="96">
        <f t="shared" si="88"/>
        <v>24</v>
      </c>
      <c r="AK260" s="97">
        <f>IF(C260=2007, AJ260/3,AJ260)+AI260</f>
        <v>8</v>
      </c>
      <c r="AL260" s="22"/>
      <c r="AM260" s="13"/>
      <c r="AN260" s="13">
        <v>24</v>
      </c>
      <c r="AO260" s="13"/>
      <c r="AP260" s="13"/>
      <c r="AQ260" s="13"/>
      <c r="AR260" s="13"/>
      <c r="AS260" s="13"/>
      <c r="AT260" s="95"/>
      <c r="AU260" s="96">
        <f>SUM(AM260:AS260)</f>
        <v>24</v>
      </c>
      <c r="AV260" s="97">
        <f>IF(C260=2010, AU260/3,AU260)+AT260</f>
        <v>24</v>
      </c>
    </row>
    <row r="261" spans="1:67" s="3" customFormat="1" x14ac:dyDescent="0.25">
      <c r="A261" s="11" t="s">
        <v>1186</v>
      </c>
      <c r="B261" s="65" t="s">
        <v>86</v>
      </c>
      <c r="C261" s="62">
        <v>2008</v>
      </c>
      <c r="D261" s="1">
        <f t="shared" si="78"/>
        <v>1</v>
      </c>
      <c r="E261" s="283"/>
      <c r="F261" s="278"/>
      <c r="G261" s="120"/>
      <c r="H261" s="13"/>
      <c r="I261" s="154"/>
      <c r="J261" s="154"/>
      <c r="K261" s="154"/>
      <c r="L261" s="154">
        <v>1</v>
      </c>
      <c r="M261" s="154"/>
      <c r="N261" s="267">
        <f t="shared" si="79"/>
        <v>0</v>
      </c>
      <c r="O261" s="122"/>
      <c r="P261" s="96">
        <f t="shared" si="80"/>
        <v>1</v>
      </c>
      <c r="Q261" s="97">
        <f t="shared" si="81"/>
        <v>1</v>
      </c>
      <c r="R261" s="154"/>
      <c r="S261" s="201"/>
      <c r="T261" s="192"/>
      <c r="U261" s="183"/>
      <c r="V261" s="168"/>
      <c r="W261" s="50"/>
      <c r="X261" s="50"/>
      <c r="Y261" s="215"/>
      <c r="Z261" s="120"/>
      <c r="AA261" s="96">
        <f t="shared" si="84"/>
        <v>0</v>
      </c>
      <c r="AB261" s="97">
        <f t="shared" si="92"/>
        <v>0</v>
      </c>
      <c r="AC261" s="22"/>
      <c r="AD261" s="287"/>
      <c r="AE261" s="287"/>
      <c r="AF261" s="50"/>
      <c r="AG261" s="50"/>
      <c r="AH261" s="50"/>
      <c r="AI261" s="120"/>
      <c r="AJ261" s="96"/>
      <c r="AK261" s="97"/>
      <c r="AL261" s="22"/>
      <c r="AM261" s="41"/>
      <c r="AN261" s="41"/>
      <c r="AO261" s="41"/>
      <c r="AP261" s="41"/>
      <c r="AQ261" s="41"/>
      <c r="AR261" s="41"/>
      <c r="AS261" s="13"/>
      <c r="AT261" s="95"/>
      <c r="AU261" s="96"/>
      <c r="AV261" s="97"/>
    </row>
    <row r="262" spans="1:67" s="3" customFormat="1" x14ac:dyDescent="0.25">
      <c r="A262" s="60" t="s">
        <v>500</v>
      </c>
      <c r="B262" s="85" t="s">
        <v>476</v>
      </c>
      <c r="C262" s="62">
        <v>2007</v>
      </c>
      <c r="D262" s="1">
        <f t="shared" si="78"/>
        <v>36</v>
      </c>
      <c r="E262" s="283"/>
      <c r="F262" s="278"/>
      <c r="G262" s="120"/>
      <c r="H262" s="13"/>
      <c r="I262" s="261"/>
      <c r="J262" s="246"/>
      <c r="K262" s="241"/>
      <c r="L262" s="228">
        <f>6</f>
        <v>6</v>
      </c>
      <c r="M262" s="215"/>
      <c r="N262" s="267">
        <f t="shared" si="79"/>
        <v>30</v>
      </c>
      <c r="O262" s="152"/>
      <c r="P262" s="96">
        <f t="shared" si="80"/>
        <v>36</v>
      </c>
      <c r="Q262" s="97">
        <f t="shared" si="81"/>
        <v>36</v>
      </c>
      <c r="R262" s="215"/>
      <c r="S262" s="201"/>
      <c r="T262" s="192"/>
      <c r="U262" s="183"/>
      <c r="V262" s="168"/>
      <c r="W262" s="50">
        <f>2</f>
        <v>2</v>
      </c>
      <c r="X262" s="50"/>
      <c r="Y262" s="215">
        <f t="shared" ref="Y262:Y270" si="93">AK262</f>
        <v>28</v>
      </c>
      <c r="Z262" s="120"/>
      <c r="AA262" s="96">
        <f t="shared" ref="AA262:AA293" si="94">S262+T262+U262+V262+W262+X262+Y262</f>
        <v>30</v>
      </c>
      <c r="AB262" s="97">
        <f t="shared" si="92"/>
        <v>30</v>
      </c>
      <c r="AC262" s="22"/>
      <c r="AD262" s="50"/>
      <c r="AE262" s="50">
        <f>22+3</f>
        <v>25</v>
      </c>
      <c r="AF262" s="50">
        <f>32+5</f>
        <v>37</v>
      </c>
      <c r="AG262" s="50">
        <f>19</f>
        <v>19</v>
      </c>
      <c r="AH262" s="50">
        <f t="shared" ref="AH262:AH270" si="95">AV262</f>
        <v>3</v>
      </c>
      <c r="AI262" s="120"/>
      <c r="AJ262" s="96">
        <f t="shared" ref="AJ262:AJ270" si="96">SUM(AD262:AH262)</f>
        <v>84</v>
      </c>
      <c r="AK262" s="97">
        <f>IF(C262=2007, AJ262/3,AJ262)+AI262</f>
        <v>28</v>
      </c>
      <c r="AL262" s="22"/>
      <c r="AM262" s="13"/>
      <c r="AN262" s="13"/>
      <c r="AO262" s="13"/>
      <c r="AP262" s="13"/>
      <c r="AQ262" s="13"/>
      <c r="AR262" s="13">
        <f>3</f>
        <v>3</v>
      </c>
      <c r="AS262" s="13"/>
      <c r="AT262" s="95"/>
      <c r="AU262" s="96">
        <f t="shared" ref="AU262:AU270" si="97">SUM(AM262:AS262)</f>
        <v>3</v>
      </c>
      <c r="AV262" s="97">
        <f>IF(C262=2010, AU262/3,AU262)+AT262</f>
        <v>3</v>
      </c>
    </row>
    <row r="263" spans="1:67" s="3" customFormat="1" x14ac:dyDescent="0.25">
      <c r="A263" s="60" t="s">
        <v>211</v>
      </c>
      <c r="B263" s="65" t="s">
        <v>86</v>
      </c>
      <c r="C263" s="62">
        <v>2005</v>
      </c>
      <c r="D263" s="1">
        <f t="shared" si="78"/>
        <v>3</v>
      </c>
      <c r="E263" s="283"/>
      <c r="F263" s="278"/>
      <c r="G263" s="120"/>
      <c r="H263" s="13"/>
      <c r="I263" s="261"/>
      <c r="J263" s="246"/>
      <c r="K263" s="241"/>
      <c r="L263" s="228"/>
      <c r="M263" s="215"/>
      <c r="N263" s="267">
        <f t="shared" si="79"/>
        <v>3</v>
      </c>
      <c r="O263" s="152"/>
      <c r="P263" s="96">
        <f t="shared" si="80"/>
        <v>3</v>
      </c>
      <c r="Q263" s="97">
        <f t="shared" si="81"/>
        <v>3</v>
      </c>
      <c r="R263" s="215"/>
      <c r="S263" s="201"/>
      <c r="T263" s="192"/>
      <c r="U263" s="183"/>
      <c r="V263" s="168"/>
      <c r="W263" s="50"/>
      <c r="X263" s="50"/>
      <c r="Y263" s="215">
        <f t="shared" si="93"/>
        <v>3</v>
      </c>
      <c r="Z263" s="120"/>
      <c r="AA263" s="96">
        <f t="shared" si="94"/>
        <v>3</v>
      </c>
      <c r="AB263" s="97">
        <f t="shared" si="92"/>
        <v>3</v>
      </c>
      <c r="AC263" s="22"/>
      <c r="AD263" s="50"/>
      <c r="AE263" s="50"/>
      <c r="AF263" s="50"/>
      <c r="AG263" s="50"/>
      <c r="AH263" s="50">
        <f t="shared" si="95"/>
        <v>3</v>
      </c>
      <c r="AI263" s="120"/>
      <c r="AJ263" s="96">
        <f t="shared" si="96"/>
        <v>3</v>
      </c>
      <c r="AK263" s="97">
        <f>IF(C263=2007, AJ263/3,AJ263)+AI263</f>
        <v>3</v>
      </c>
      <c r="AL263" s="22"/>
      <c r="AM263" s="26"/>
      <c r="AN263" s="26">
        <v>2</v>
      </c>
      <c r="AO263" s="26"/>
      <c r="AP263" s="26">
        <f>1</f>
        <v>1</v>
      </c>
      <c r="AQ263" s="26"/>
      <c r="AR263" s="26"/>
      <c r="AS263" s="26"/>
      <c r="AT263" s="95"/>
      <c r="AU263" s="96">
        <f t="shared" si="97"/>
        <v>3</v>
      </c>
      <c r="AV263" s="97">
        <f>IF(C263=2006, AU263/3,AU263)+AT263</f>
        <v>3</v>
      </c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</row>
    <row r="264" spans="1:67" s="3" customFormat="1" x14ac:dyDescent="0.25">
      <c r="A264" s="53" t="s">
        <v>53</v>
      </c>
      <c r="B264" s="84" t="s">
        <v>23</v>
      </c>
      <c r="C264" s="54">
        <v>2009</v>
      </c>
      <c r="D264" s="1">
        <f t="shared" si="78"/>
        <v>59</v>
      </c>
      <c r="E264" s="287"/>
      <c r="F264" s="287"/>
      <c r="G264" s="120"/>
      <c r="H264" s="13"/>
      <c r="I264" s="108"/>
      <c r="J264" s="108"/>
      <c r="K264" s="108"/>
      <c r="L264" s="108"/>
      <c r="M264" s="108"/>
      <c r="N264" s="267">
        <f t="shared" si="79"/>
        <v>177</v>
      </c>
      <c r="O264" s="120"/>
      <c r="P264" s="96">
        <f t="shared" si="80"/>
        <v>177</v>
      </c>
      <c r="Q264" s="97">
        <f t="shared" si="81"/>
        <v>59</v>
      </c>
      <c r="R264" s="108"/>
      <c r="S264" s="201"/>
      <c r="T264" s="192">
        <f>12+3</f>
        <v>15</v>
      </c>
      <c r="U264" s="183"/>
      <c r="V264" s="168"/>
      <c r="W264" s="50"/>
      <c r="X264" s="50"/>
      <c r="Y264" s="215">
        <f t="shared" si="93"/>
        <v>162</v>
      </c>
      <c r="Z264" s="120"/>
      <c r="AA264" s="96">
        <f t="shared" si="94"/>
        <v>177</v>
      </c>
      <c r="AB264" s="97">
        <f>IF(C264=2012, AA264/3,AA264)+Z264</f>
        <v>177</v>
      </c>
      <c r="AC264" s="22"/>
      <c r="AD264" s="231"/>
      <c r="AE264" s="231"/>
      <c r="AF264" s="50">
        <f>141</f>
        <v>141</v>
      </c>
      <c r="AG264" s="50"/>
      <c r="AH264" s="50">
        <f t="shared" si="95"/>
        <v>21</v>
      </c>
      <c r="AI264" s="120"/>
      <c r="AJ264" s="96">
        <f t="shared" si="96"/>
        <v>162</v>
      </c>
      <c r="AK264" s="97">
        <f>IF(C264=2011, AJ264/3,AJ264)+AI264</f>
        <v>162</v>
      </c>
      <c r="AL264" s="22"/>
      <c r="AM264" s="41">
        <f>18+3</f>
        <v>21</v>
      </c>
      <c r="AN264" s="41"/>
      <c r="AO264" s="41"/>
      <c r="AP264" s="41"/>
      <c r="AQ264" s="41"/>
      <c r="AR264" s="41"/>
      <c r="AS264" s="41"/>
      <c r="AT264" s="95"/>
      <c r="AU264" s="96">
        <f t="shared" si="97"/>
        <v>21</v>
      </c>
      <c r="AV264" s="97">
        <f>IF(C264=2010, AU264/3,AU264)+AT264</f>
        <v>21</v>
      </c>
    </row>
    <row r="265" spans="1:67" s="3" customFormat="1" x14ac:dyDescent="0.25">
      <c r="A265" s="53" t="s">
        <v>499</v>
      </c>
      <c r="B265" s="84" t="s">
        <v>231</v>
      </c>
      <c r="C265" s="54">
        <v>2007</v>
      </c>
      <c r="D265" s="1">
        <f t="shared" si="78"/>
        <v>1</v>
      </c>
      <c r="E265" s="287"/>
      <c r="F265" s="287"/>
      <c r="G265" s="120"/>
      <c r="H265" s="13"/>
      <c r="I265" s="261"/>
      <c r="J265" s="246"/>
      <c r="K265" s="241"/>
      <c r="L265" s="228"/>
      <c r="M265" s="215"/>
      <c r="N265" s="267">
        <f t="shared" si="79"/>
        <v>1</v>
      </c>
      <c r="O265" s="152"/>
      <c r="P265" s="96">
        <f t="shared" si="80"/>
        <v>1</v>
      </c>
      <c r="Q265" s="97">
        <f t="shared" si="81"/>
        <v>1</v>
      </c>
      <c r="R265" s="215"/>
      <c r="S265" s="201"/>
      <c r="T265" s="192"/>
      <c r="U265" s="183"/>
      <c r="V265" s="168"/>
      <c r="W265" s="50"/>
      <c r="X265" s="50"/>
      <c r="Y265" s="215">
        <f t="shared" si="93"/>
        <v>1</v>
      </c>
      <c r="Z265" s="120"/>
      <c r="AA265" s="96">
        <f t="shared" si="94"/>
        <v>1</v>
      </c>
      <c r="AB265" s="97">
        <f>IF(C265=2008, AA265/3,AA265)+Z265</f>
        <v>1</v>
      </c>
      <c r="AC265" s="22"/>
      <c r="AD265" s="50"/>
      <c r="AE265" s="50"/>
      <c r="AF265" s="50"/>
      <c r="AG265" s="50"/>
      <c r="AH265" s="50">
        <f t="shared" si="95"/>
        <v>3</v>
      </c>
      <c r="AI265" s="120"/>
      <c r="AJ265" s="96">
        <f t="shared" si="96"/>
        <v>3</v>
      </c>
      <c r="AK265" s="97">
        <f>IF(C265=2007, AJ265/3,AJ265)+AI265</f>
        <v>1</v>
      </c>
      <c r="AL265" s="22"/>
      <c r="AM265" s="41"/>
      <c r="AN265" s="41"/>
      <c r="AO265" s="41"/>
      <c r="AP265" s="41"/>
      <c r="AQ265" s="41"/>
      <c r="AR265" s="41">
        <f>3</f>
        <v>3</v>
      </c>
      <c r="AS265" s="41"/>
      <c r="AT265" s="95"/>
      <c r="AU265" s="96">
        <f t="shared" si="97"/>
        <v>3</v>
      </c>
      <c r="AV265" s="97">
        <f>IF(C265=2010, AU265/3,AU265)+AT265</f>
        <v>3</v>
      </c>
    </row>
    <row r="266" spans="1:67" s="3" customFormat="1" x14ac:dyDescent="0.25">
      <c r="A266" s="60" t="s">
        <v>521</v>
      </c>
      <c r="B266" s="65" t="s">
        <v>63</v>
      </c>
      <c r="C266" s="62">
        <v>2002</v>
      </c>
      <c r="D266" s="1">
        <f t="shared" si="78"/>
        <v>51</v>
      </c>
      <c r="E266" s="287"/>
      <c r="F266" s="287"/>
      <c r="G266" s="120"/>
      <c r="H266" s="13"/>
      <c r="I266" s="261"/>
      <c r="J266" s="246"/>
      <c r="K266" s="241"/>
      <c r="L266" s="231"/>
      <c r="M266" s="231"/>
      <c r="N266" s="267">
        <f t="shared" si="79"/>
        <v>51</v>
      </c>
      <c r="O266" s="120"/>
      <c r="P266" s="96">
        <f t="shared" si="80"/>
        <v>51</v>
      </c>
      <c r="Q266" s="97">
        <f t="shared" si="81"/>
        <v>51</v>
      </c>
      <c r="R266" s="231"/>
      <c r="S266" s="201"/>
      <c r="T266" s="192"/>
      <c r="U266" s="183"/>
      <c r="V266" s="168">
        <f>9</f>
        <v>9</v>
      </c>
      <c r="W266" s="50">
        <f>9</f>
        <v>9</v>
      </c>
      <c r="X266" s="50"/>
      <c r="Y266" s="215">
        <f t="shared" si="93"/>
        <v>33</v>
      </c>
      <c r="Z266" s="120"/>
      <c r="AA266" s="96">
        <f t="shared" si="94"/>
        <v>51</v>
      </c>
      <c r="AB266" s="97">
        <f>IF(C266=2008, AA266/3,AA266)+Z266</f>
        <v>51</v>
      </c>
      <c r="AC266" s="22"/>
      <c r="AD266" s="267"/>
      <c r="AE266" s="267"/>
      <c r="AF266" s="50">
        <f>3</f>
        <v>3</v>
      </c>
      <c r="AG266" s="50">
        <f>9+3+3</f>
        <v>15</v>
      </c>
      <c r="AH266" s="50">
        <f t="shared" si="95"/>
        <v>15</v>
      </c>
      <c r="AI266" s="120"/>
      <c r="AJ266" s="96">
        <f t="shared" si="96"/>
        <v>33</v>
      </c>
      <c r="AK266" s="97">
        <f>IF(C266=2007, AJ266/3,AJ266)+AI266</f>
        <v>33</v>
      </c>
      <c r="AL266" s="22"/>
      <c r="AM266" s="26"/>
      <c r="AN266" s="26"/>
      <c r="AO266" s="26"/>
      <c r="AP266" s="26"/>
      <c r="AQ266" s="26"/>
      <c r="AR266" s="26">
        <f>6+3+6</f>
        <v>15</v>
      </c>
      <c r="AS266" s="26"/>
      <c r="AT266" s="95"/>
      <c r="AU266" s="96">
        <f t="shared" si="97"/>
        <v>15</v>
      </c>
      <c r="AV266" s="97">
        <f>IF(C266=2006, AU266/3,AU266)+AT266</f>
        <v>15</v>
      </c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</row>
    <row r="267" spans="1:67" s="3" customFormat="1" x14ac:dyDescent="0.25">
      <c r="A267" s="60" t="s">
        <v>166</v>
      </c>
      <c r="B267" s="65" t="s">
        <v>87</v>
      </c>
      <c r="C267" s="62">
        <v>2009</v>
      </c>
      <c r="D267" s="1">
        <f t="shared" si="78"/>
        <v>8.6666666666666661</v>
      </c>
      <c r="E267" s="283"/>
      <c r="F267" s="278"/>
      <c r="G267" s="120"/>
      <c r="H267" s="13"/>
      <c r="I267" s="287"/>
      <c r="J267" s="287"/>
      <c r="K267" s="287"/>
      <c r="L267" s="287"/>
      <c r="M267" s="287"/>
      <c r="N267" s="267">
        <f t="shared" si="79"/>
        <v>26</v>
      </c>
      <c r="O267" s="120"/>
      <c r="P267" s="96">
        <f t="shared" si="80"/>
        <v>26</v>
      </c>
      <c r="Q267" s="97">
        <f t="shared" si="81"/>
        <v>8.6666666666666661</v>
      </c>
      <c r="R267" s="287"/>
      <c r="S267" s="201"/>
      <c r="T267" s="192"/>
      <c r="U267" s="183"/>
      <c r="V267" s="168"/>
      <c r="W267" s="50"/>
      <c r="X267" s="50"/>
      <c r="Y267" s="215">
        <f t="shared" si="93"/>
        <v>26</v>
      </c>
      <c r="Z267" s="120"/>
      <c r="AA267" s="96">
        <f t="shared" si="94"/>
        <v>26</v>
      </c>
      <c r="AB267" s="97">
        <f>IF(C267=2012, AA267/3,AA267)+Z267</f>
        <v>26</v>
      </c>
      <c r="AC267" s="22"/>
      <c r="AD267" s="50"/>
      <c r="AE267" s="50"/>
      <c r="AF267" s="50"/>
      <c r="AG267" s="50"/>
      <c r="AH267" s="50">
        <f t="shared" si="95"/>
        <v>26</v>
      </c>
      <c r="AI267" s="120"/>
      <c r="AJ267" s="96">
        <f t="shared" si="96"/>
        <v>26</v>
      </c>
      <c r="AK267" s="97">
        <f>IF(C267=2011, AJ267/3,AJ267)+AI267</f>
        <v>26</v>
      </c>
      <c r="AL267" s="22"/>
      <c r="AM267" s="13"/>
      <c r="AN267" s="13">
        <f>9+17</f>
        <v>26</v>
      </c>
      <c r="AO267" s="13"/>
      <c r="AP267" s="13"/>
      <c r="AQ267" s="13"/>
      <c r="AR267" s="13"/>
      <c r="AS267" s="13"/>
      <c r="AT267" s="95"/>
      <c r="AU267" s="96">
        <f t="shared" si="97"/>
        <v>26</v>
      </c>
      <c r="AV267" s="97">
        <f>IF(C267=2010, AU267/3,AU267)+AT267</f>
        <v>26</v>
      </c>
    </row>
    <row r="268" spans="1:67" s="3" customFormat="1" x14ac:dyDescent="0.25">
      <c r="A268" s="60" t="s">
        <v>167</v>
      </c>
      <c r="B268" s="65" t="s">
        <v>111</v>
      </c>
      <c r="C268" s="62">
        <v>2008</v>
      </c>
      <c r="D268" s="1">
        <f t="shared" si="78"/>
        <v>36</v>
      </c>
      <c r="E268" s="154"/>
      <c r="F268" s="154"/>
      <c r="G268" s="120"/>
      <c r="H268" s="13"/>
      <c r="I268" s="267"/>
      <c r="J268" s="267"/>
      <c r="K268" s="267"/>
      <c r="L268" s="267"/>
      <c r="M268" s="267"/>
      <c r="N268" s="267">
        <f t="shared" si="79"/>
        <v>36</v>
      </c>
      <c r="O268" s="120"/>
      <c r="P268" s="96">
        <f t="shared" si="80"/>
        <v>36</v>
      </c>
      <c r="Q268" s="97">
        <f t="shared" si="81"/>
        <v>36</v>
      </c>
      <c r="R268" s="267"/>
      <c r="S268" s="201"/>
      <c r="T268" s="192"/>
      <c r="U268" s="183"/>
      <c r="V268" s="168"/>
      <c r="W268" s="50"/>
      <c r="X268" s="50"/>
      <c r="Y268" s="215">
        <f t="shared" si="93"/>
        <v>108</v>
      </c>
      <c r="Z268" s="120"/>
      <c r="AA268" s="96">
        <f t="shared" si="94"/>
        <v>108</v>
      </c>
      <c r="AB268" s="97">
        <f>IF(C268=2008, AA268/3,AA268)+Z268</f>
        <v>36</v>
      </c>
      <c r="AC268" s="22"/>
      <c r="AD268" s="50"/>
      <c r="AE268" s="50">
        <f>16</f>
        <v>16</v>
      </c>
      <c r="AF268" s="50">
        <f>14</f>
        <v>14</v>
      </c>
      <c r="AG268" s="50">
        <f>21</f>
        <v>21</v>
      </c>
      <c r="AH268" s="50">
        <f t="shared" si="95"/>
        <v>57</v>
      </c>
      <c r="AI268" s="120"/>
      <c r="AJ268" s="96">
        <f t="shared" si="96"/>
        <v>108</v>
      </c>
      <c r="AK268" s="97">
        <f>IF(C268=2011, AJ268/3,AJ268)+AI268</f>
        <v>108</v>
      </c>
      <c r="AL268" s="22"/>
      <c r="AM268" s="13"/>
      <c r="AN268" s="13">
        <v>12</v>
      </c>
      <c r="AO268" s="13"/>
      <c r="AP268" s="13">
        <f>20+1</f>
        <v>21</v>
      </c>
      <c r="AQ268" s="13">
        <f>8</f>
        <v>8</v>
      </c>
      <c r="AR268" s="13">
        <f>16</f>
        <v>16</v>
      </c>
      <c r="AS268" s="13"/>
      <c r="AT268" s="95"/>
      <c r="AU268" s="96">
        <f t="shared" si="97"/>
        <v>57</v>
      </c>
      <c r="AV268" s="97">
        <f>IF(C268=2010, AU268/3,AU268)+AT268</f>
        <v>57</v>
      </c>
    </row>
    <row r="269" spans="1:67" s="3" customFormat="1" x14ac:dyDescent="0.25">
      <c r="A269" s="53" t="s">
        <v>57</v>
      </c>
      <c r="B269" s="86" t="s">
        <v>919</v>
      </c>
      <c r="C269" s="52">
        <v>2007</v>
      </c>
      <c r="D269" s="1">
        <f t="shared" si="78"/>
        <v>6.6666666666666661</v>
      </c>
      <c r="E269" s="154"/>
      <c r="F269" s="154"/>
      <c r="G269" s="120"/>
      <c r="H269" s="13"/>
      <c r="I269" s="261"/>
      <c r="J269" s="246"/>
      <c r="K269" s="241"/>
      <c r="L269" s="231"/>
      <c r="M269" s="231">
        <f>0+3</f>
        <v>3</v>
      </c>
      <c r="N269" s="267">
        <f t="shared" si="79"/>
        <v>3.6666666666666665</v>
      </c>
      <c r="O269" s="152"/>
      <c r="P269" s="96">
        <f t="shared" si="80"/>
        <v>6.6666666666666661</v>
      </c>
      <c r="Q269" s="97">
        <f t="shared" si="81"/>
        <v>6.6666666666666661</v>
      </c>
      <c r="R269" s="231"/>
      <c r="S269" s="201">
        <f>0</f>
        <v>0</v>
      </c>
      <c r="T269" s="192"/>
      <c r="U269" s="183">
        <f>3</f>
        <v>3</v>
      </c>
      <c r="V269" s="74"/>
      <c r="W269" s="50"/>
      <c r="X269" s="50"/>
      <c r="Y269" s="215">
        <f t="shared" si="93"/>
        <v>0.66666666666666663</v>
      </c>
      <c r="Z269" s="120"/>
      <c r="AA269" s="96">
        <f t="shared" si="94"/>
        <v>3.6666666666666665</v>
      </c>
      <c r="AB269" s="97">
        <f>IF(C269=2008, AA269/3,AA269)+Z269</f>
        <v>3.6666666666666665</v>
      </c>
      <c r="AC269" s="22"/>
      <c r="AD269" s="50"/>
      <c r="AE269" s="50"/>
      <c r="AF269" s="50"/>
      <c r="AG269" s="50"/>
      <c r="AH269" s="50">
        <f t="shared" si="95"/>
        <v>2</v>
      </c>
      <c r="AI269" s="120"/>
      <c r="AJ269" s="96">
        <f t="shared" si="96"/>
        <v>2</v>
      </c>
      <c r="AK269" s="97">
        <f>IF(C269=2007, AJ269/3,AJ269)+AI269</f>
        <v>0.66666666666666663</v>
      </c>
      <c r="AL269" s="22"/>
      <c r="AM269" s="41">
        <v>2</v>
      </c>
      <c r="AN269" s="41"/>
      <c r="AO269" s="41"/>
      <c r="AP269" s="41"/>
      <c r="AQ269" s="41"/>
      <c r="AR269" s="41"/>
      <c r="AS269" s="41"/>
      <c r="AT269" s="95"/>
      <c r="AU269" s="96">
        <f t="shared" si="97"/>
        <v>2</v>
      </c>
      <c r="AV269" s="97">
        <f>IF(C269=2010, AU269/3,AU269)+AT269</f>
        <v>2</v>
      </c>
    </row>
    <row r="270" spans="1:67" s="3" customFormat="1" x14ac:dyDescent="0.25">
      <c r="A270" s="53" t="s">
        <v>346</v>
      </c>
      <c r="B270" s="86" t="s">
        <v>111</v>
      </c>
      <c r="C270" s="52">
        <v>2009</v>
      </c>
      <c r="D270" s="1">
        <f t="shared" si="78"/>
        <v>8.3333333333333339</v>
      </c>
      <c r="E270" s="154"/>
      <c r="F270" s="154"/>
      <c r="G270" s="120"/>
      <c r="H270" s="13"/>
      <c r="I270" s="261"/>
      <c r="J270" s="246"/>
      <c r="K270" s="241"/>
      <c r="L270" s="228"/>
      <c r="M270" s="215"/>
      <c r="N270" s="267">
        <f t="shared" si="79"/>
        <v>25</v>
      </c>
      <c r="O270" s="120"/>
      <c r="P270" s="96">
        <f t="shared" si="80"/>
        <v>25</v>
      </c>
      <c r="Q270" s="97">
        <f t="shared" si="81"/>
        <v>8.3333333333333339</v>
      </c>
      <c r="R270" s="215"/>
      <c r="S270" s="201"/>
      <c r="T270" s="192"/>
      <c r="U270" s="183"/>
      <c r="V270" s="168"/>
      <c r="W270" s="50"/>
      <c r="X270" s="50"/>
      <c r="Y270" s="215">
        <f t="shared" si="93"/>
        <v>25</v>
      </c>
      <c r="Z270" s="120"/>
      <c r="AA270" s="96">
        <f t="shared" si="94"/>
        <v>25</v>
      </c>
      <c r="AB270" s="97">
        <f>IF(C270=2012, AA270/3,AA270)+Z270</f>
        <v>25</v>
      </c>
      <c r="AC270" s="22"/>
      <c r="AD270" s="50"/>
      <c r="AE270" s="50"/>
      <c r="AF270" s="50"/>
      <c r="AG270" s="50"/>
      <c r="AH270" s="50">
        <f t="shared" si="95"/>
        <v>25</v>
      </c>
      <c r="AI270" s="120"/>
      <c r="AJ270" s="96">
        <f t="shared" si="96"/>
        <v>25</v>
      </c>
      <c r="AK270" s="97">
        <f>IF(C270=2011, AJ270/3,AJ270)+AI270</f>
        <v>25</v>
      </c>
      <c r="AL270" s="22"/>
      <c r="AM270" s="41"/>
      <c r="AN270" s="41"/>
      <c r="AO270" s="41"/>
      <c r="AP270" s="41">
        <f>10</f>
        <v>10</v>
      </c>
      <c r="AQ270" s="41"/>
      <c r="AR270" s="41"/>
      <c r="AS270" s="41">
        <f>15</f>
        <v>15</v>
      </c>
      <c r="AT270" s="95"/>
      <c r="AU270" s="96">
        <f t="shared" si="97"/>
        <v>25</v>
      </c>
      <c r="AV270" s="97">
        <f>IF(C270=2010, AU270/3,AU270)+AT270</f>
        <v>25</v>
      </c>
    </row>
    <row r="271" spans="1:67" s="3" customFormat="1" x14ac:dyDescent="0.25">
      <c r="A271" s="12" t="s">
        <v>1193</v>
      </c>
      <c r="B271" s="65" t="s">
        <v>87</v>
      </c>
      <c r="C271" s="4">
        <v>2008</v>
      </c>
      <c r="D271" s="1">
        <f t="shared" si="78"/>
        <v>30</v>
      </c>
      <c r="E271" s="283"/>
      <c r="F271" s="278"/>
      <c r="G271" s="120"/>
      <c r="H271" s="13"/>
      <c r="I271" s="267"/>
      <c r="J271" s="267"/>
      <c r="K271" s="267"/>
      <c r="L271" s="267">
        <f>30</f>
        <v>30</v>
      </c>
      <c r="M271" s="267"/>
      <c r="N271" s="267">
        <f t="shared" si="79"/>
        <v>0</v>
      </c>
      <c r="O271" s="152"/>
      <c r="P271" s="96">
        <f t="shared" si="80"/>
        <v>30</v>
      </c>
      <c r="Q271" s="97">
        <f t="shared" si="81"/>
        <v>30</v>
      </c>
      <c r="R271" s="267"/>
      <c r="S271" s="159"/>
      <c r="T271" s="159"/>
      <c r="U271" s="159"/>
      <c r="V271" s="159"/>
      <c r="W271" s="159"/>
      <c r="X271" s="159"/>
      <c r="Y271" s="159"/>
      <c r="Z271" s="26"/>
      <c r="AA271" s="96">
        <f t="shared" si="94"/>
        <v>0</v>
      </c>
      <c r="AB271" s="97">
        <f>IF(C271=2008, AA271/3,AA271)+Z271</f>
        <v>0</v>
      </c>
      <c r="AC271" s="26"/>
      <c r="AD271" s="26"/>
      <c r="AE271" s="26"/>
      <c r="AF271" s="26"/>
      <c r="AG271" s="26"/>
      <c r="AH271" s="26"/>
      <c r="AI271" s="26"/>
      <c r="AJ271" s="4"/>
      <c r="AK271" s="4"/>
      <c r="AL271" s="26"/>
      <c r="AM271" s="26"/>
      <c r="AN271" s="26"/>
      <c r="AO271" s="26"/>
      <c r="AP271" s="26"/>
      <c r="AQ271" s="26"/>
      <c r="AR271" s="26"/>
      <c r="AS271" s="26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</row>
    <row r="272" spans="1:67" s="3" customFormat="1" x14ac:dyDescent="0.25">
      <c r="A272" s="60" t="s">
        <v>531</v>
      </c>
      <c r="B272" s="65" t="s">
        <v>529</v>
      </c>
      <c r="C272" s="62">
        <v>2005</v>
      </c>
      <c r="D272" s="1">
        <f t="shared" si="78"/>
        <v>8</v>
      </c>
      <c r="E272" s="283"/>
      <c r="F272" s="278"/>
      <c r="G272" s="120"/>
      <c r="H272" s="13"/>
      <c r="I272" s="154"/>
      <c r="J272" s="154"/>
      <c r="K272" s="154"/>
      <c r="L272" s="154"/>
      <c r="M272" s="154"/>
      <c r="N272" s="267">
        <f t="shared" si="79"/>
        <v>8</v>
      </c>
      <c r="O272" s="152"/>
      <c r="P272" s="96">
        <f t="shared" si="80"/>
        <v>8</v>
      </c>
      <c r="Q272" s="97">
        <f t="shared" si="81"/>
        <v>8</v>
      </c>
      <c r="R272" s="154"/>
      <c r="S272" s="201"/>
      <c r="T272" s="192"/>
      <c r="U272" s="183"/>
      <c r="V272" s="168"/>
      <c r="W272" s="50"/>
      <c r="X272" s="50"/>
      <c r="Y272" s="215">
        <f>AK272</f>
        <v>8</v>
      </c>
      <c r="Z272" s="120"/>
      <c r="AA272" s="96">
        <f t="shared" si="94"/>
        <v>8</v>
      </c>
      <c r="AB272" s="97">
        <f>IF(C272=2008, AA272/3,AA272)+Z272</f>
        <v>8</v>
      </c>
      <c r="AC272" s="22"/>
      <c r="AD272" s="50"/>
      <c r="AE272" s="50"/>
      <c r="AF272" s="50"/>
      <c r="AG272" s="50"/>
      <c r="AH272" s="50">
        <f>AV272</f>
        <v>8</v>
      </c>
      <c r="AI272" s="120"/>
      <c r="AJ272" s="96">
        <f>SUM(AD272:AH272)</f>
        <v>8</v>
      </c>
      <c r="AK272" s="97">
        <f>IF(C272=2007, AJ272/3,AJ272)+AI272</f>
        <v>8</v>
      </c>
      <c r="AL272" s="22"/>
      <c r="AM272" s="26"/>
      <c r="AN272" s="26"/>
      <c r="AO272" s="26"/>
      <c r="AP272" s="26"/>
      <c r="AQ272" s="26"/>
      <c r="AR272" s="26">
        <f>0</f>
        <v>0</v>
      </c>
      <c r="AS272" s="26">
        <f>8</f>
        <v>8</v>
      </c>
      <c r="AT272" s="95"/>
      <c r="AU272" s="96">
        <f>SUM(AM272:AS272)</f>
        <v>8</v>
      </c>
      <c r="AV272" s="97">
        <f>IF(C272=2006, AU272/3,AU272)+AT272</f>
        <v>8</v>
      </c>
    </row>
    <row r="273" spans="1:67" s="3" customFormat="1" x14ac:dyDescent="0.25">
      <c r="A273" s="11" t="s">
        <v>1187</v>
      </c>
      <c r="B273" s="65" t="s">
        <v>86</v>
      </c>
      <c r="C273" s="62">
        <v>2006</v>
      </c>
      <c r="D273" s="1">
        <f t="shared" si="78"/>
        <v>0</v>
      </c>
      <c r="E273" s="283"/>
      <c r="F273" s="278"/>
      <c r="G273" s="120"/>
      <c r="H273" s="13"/>
      <c r="I273" s="154"/>
      <c r="J273" s="154"/>
      <c r="K273" s="154"/>
      <c r="L273" s="154">
        <v>0</v>
      </c>
      <c r="M273" s="154"/>
      <c r="N273" s="267">
        <f t="shared" si="79"/>
        <v>0</v>
      </c>
      <c r="O273" s="122"/>
      <c r="P273" s="96">
        <f t="shared" si="80"/>
        <v>0</v>
      </c>
      <c r="Q273" s="97">
        <f t="shared" si="81"/>
        <v>0</v>
      </c>
      <c r="R273" s="154"/>
      <c r="S273" s="201"/>
      <c r="T273" s="192"/>
      <c r="U273" s="183"/>
      <c r="V273" s="168"/>
      <c r="W273" s="50"/>
      <c r="X273" s="50"/>
      <c r="Y273" s="215"/>
      <c r="Z273" s="120"/>
      <c r="AA273" s="96">
        <f t="shared" si="94"/>
        <v>0</v>
      </c>
      <c r="AB273" s="97">
        <f>IF(C273=2008, AA273/3,AA273)+Z273</f>
        <v>0</v>
      </c>
      <c r="AC273" s="22"/>
      <c r="AD273" s="50"/>
      <c r="AE273" s="50"/>
      <c r="AF273" s="50"/>
      <c r="AG273" s="50"/>
      <c r="AH273" s="50"/>
      <c r="AI273" s="120"/>
      <c r="AJ273" s="96"/>
      <c r="AK273" s="97"/>
      <c r="AL273" s="22"/>
      <c r="AM273" s="41"/>
      <c r="AN273" s="41"/>
      <c r="AO273" s="41"/>
      <c r="AP273" s="41"/>
      <c r="AQ273" s="41"/>
      <c r="AR273" s="41"/>
      <c r="AS273" s="13"/>
      <c r="AT273" s="95"/>
      <c r="AU273" s="96"/>
      <c r="AV273" s="97"/>
    </row>
    <row r="274" spans="1:67" s="17" customFormat="1" x14ac:dyDescent="0.25">
      <c r="A274" s="51" t="s">
        <v>33</v>
      </c>
      <c r="B274" s="84" t="s">
        <v>86</v>
      </c>
      <c r="C274" s="52">
        <v>2007</v>
      </c>
      <c r="D274" s="1">
        <f t="shared" si="78"/>
        <v>181</v>
      </c>
      <c r="E274" s="283"/>
      <c r="F274" s="278"/>
      <c r="G274" s="120"/>
      <c r="H274" s="13"/>
      <c r="I274" s="287"/>
      <c r="J274" s="287"/>
      <c r="K274" s="287"/>
      <c r="L274" s="287"/>
      <c r="M274" s="287"/>
      <c r="N274" s="267">
        <f t="shared" si="79"/>
        <v>181</v>
      </c>
      <c r="O274" s="120"/>
      <c r="P274" s="96">
        <f t="shared" si="80"/>
        <v>181</v>
      </c>
      <c r="Q274" s="97">
        <f t="shared" si="81"/>
        <v>181</v>
      </c>
      <c r="R274" s="287"/>
      <c r="S274" s="201"/>
      <c r="T274" s="192"/>
      <c r="U274" s="183"/>
      <c r="V274" s="172"/>
      <c r="W274" s="172">
        <f>36+6+6</f>
        <v>48</v>
      </c>
      <c r="X274" s="172"/>
      <c r="Y274" s="215">
        <f t="shared" ref="Y274:Y293" si="98">AK274</f>
        <v>133</v>
      </c>
      <c r="Z274" s="120"/>
      <c r="AA274" s="96">
        <f t="shared" si="94"/>
        <v>181</v>
      </c>
      <c r="AB274" s="97">
        <f>IF(C274=2008, AA274/3,AA274)+Z274</f>
        <v>181</v>
      </c>
      <c r="AC274" s="22"/>
      <c r="AD274" s="172"/>
      <c r="AE274" s="172"/>
      <c r="AF274" s="172">
        <f>231+102</f>
        <v>333</v>
      </c>
      <c r="AG274" s="172"/>
      <c r="AH274" s="172">
        <f>AV274</f>
        <v>66</v>
      </c>
      <c r="AI274" s="120"/>
      <c r="AJ274" s="96">
        <f t="shared" ref="AJ274:AJ279" si="99">SUM(AD274:AH274)</f>
        <v>399</v>
      </c>
      <c r="AK274" s="97">
        <f>IF(C274=2007, AJ274/3,AJ274)+AI274</f>
        <v>133</v>
      </c>
      <c r="AL274" s="22"/>
      <c r="AM274" s="287">
        <f>12+6</f>
        <v>18</v>
      </c>
      <c r="AN274" s="287"/>
      <c r="AO274" s="287"/>
      <c r="AP274" s="287"/>
      <c r="AQ274" s="287"/>
      <c r="AR274" s="287"/>
      <c r="AS274" s="287">
        <v>48</v>
      </c>
      <c r="AT274" s="95"/>
      <c r="AU274" s="96">
        <f>SUM(AM274:AS274)</f>
        <v>66</v>
      </c>
      <c r="AV274" s="97">
        <f>IF(C274=2010, AU274/3,AU274)+AT274</f>
        <v>66</v>
      </c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spans="1:67" s="17" customFormat="1" x14ac:dyDescent="0.25">
      <c r="A275" s="60" t="s">
        <v>178</v>
      </c>
      <c r="B275" s="85" t="s">
        <v>64</v>
      </c>
      <c r="C275" s="62">
        <v>2009</v>
      </c>
      <c r="D275" s="1">
        <f t="shared" si="78"/>
        <v>61.666666666666664</v>
      </c>
      <c r="E275" s="283"/>
      <c r="F275" s="278"/>
      <c r="G275" s="120"/>
      <c r="H275" s="13"/>
      <c r="I275" s="108"/>
      <c r="J275" s="108"/>
      <c r="K275" s="108"/>
      <c r="L275" s="108"/>
      <c r="M275" s="108"/>
      <c r="N275" s="267">
        <f t="shared" si="79"/>
        <v>185</v>
      </c>
      <c r="O275" s="120"/>
      <c r="P275" s="96">
        <f t="shared" si="80"/>
        <v>185</v>
      </c>
      <c r="Q275" s="97">
        <f t="shared" si="81"/>
        <v>61.666666666666664</v>
      </c>
      <c r="R275" s="108"/>
      <c r="S275" s="201"/>
      <c r="T275" s="192"/>
      <c r="U275" s="183"/>
      <c r="V275" s="168"/>
      <c r="W275" s="50"/>
      <c r="X275" s="50"/>
      <c r="Y275" s="215">
        <f t="shared" si="98"/>
        <v>185</v>
      </c>
      <c r="Z275" s="120"/>
      <c r="AA275" s="96">
        <f t="shared" si="94"/>
        <v>185</v>
      </c>
      <c r="AB275" s="97">
        <f>IF(C275=2012, AA275/3,AA275)+Z275</f>
        <v>185</v>
      </c>
      <c r="AC275" s="22"/>
      <c r="AD275" s="50"/>
      <c r="AE275" s="50"/>
      <c r="AF275" s="50"/>
      <c r="AG275" s="50"/>
      <c r="AH275" s="50">
        <f>AV275</f>
        <v>185</v>
      </c>
      <c r="AI275" s="120"/>
      <c r="AJ275" s="96">
        <f t="shared" si="99"/>
        <v>185</v>
      </c>
      <c r="AK275" s="97">
        <f>IF(C275=2011, AJ275/3,AJ275)+AI275</f>
        <v>185</v>
      </c>
      <c r="AL275" s="22"/>
      <c r="AM275" s="13"/>
      <c r="AN275" s="13">
        <v>15</v>
      </c>
      <c r="AO275" s="13"/>
      <c r="AP275" s="13"/>
      <c r="AQ275" s="13"/>
      <c r="AR275" s="13"/>
      <c r="AS275" s="13">
        <f>170</f>
        <v>170</v>
      </c>
      <c r="AT275" s="95"/>
      <c r="AU275" s="96">
        <f>SUM(AM275:AS275)</f>
        <v>185</v>
      </c>
      <c r="AV275" s="97">
        <f>IF(C275=2010, AU275/3,AU275)+AT275</f>
        <v>185</v>
      </c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spans="1:67" s="3" customFormat="1" ht="14.25" customHeight="1" x14ac:dyDescent="0.25">
      <c r="A276" s="60" t="s">
        <v>509</v>
      </c>
      <c r="B276" s="85" t="s">
        <v>36</v>
      </c>
      <c r="C276" s="62">
        <v>2008</v>
      </c>
      <c r="D276" s="1">
        <f t="shared" si="78"/>
        <v>15.333333333333334</v>
      </c>
      <c r="E276" s="283"/>
      <c r="F276" s="278"/>
      <c r="G276" s="120"/>
      <c r="H276" s="13"/>
      <c r="I276" s="261"/>
      <c r="J276" s="246"/>
      <c r="K276" s="241"/>
      <c r="L276" s="228"/>
      <c r="M276" s="215"/>
      <c r="N276" s="267">
        <f t="shared" si="79"/>
        <v>15.333333333333334</v>
      </c>
      <c r="O276" s="152"/>
      <c r="P276" s="96">
        <f t="shared" si="80"/>
        <v>15.333333333333334</v>
      </c>
      <c r="Q276" s="97">
        <f t="shared" si="81"/>
        <v>15.333333333333334</v>
      </c>
      <c r="R276" s="215"/>
      <c r="S276" s="201"/>
      <c r="T276" s="192"/>
      <c r="U276" s="183"/>
      <c r="V276" s="168"/>
      <c r="W276" s="50"/>
      <c r="X276" s="50"/>
      <c r="Y276" s="215">
        <f t="shared" si="98"/>
        <v>46</v>
      </c>
      <c r="Z276" s="120"/>
      <c r="AA276" s="96">
        <f t="shared" si="94"/>
        <v>46</v>
      </c>
      <c r="AB276" s="97">
        <f>IF(C276=2008, AA276/3,AA276)+Z276</f>
        <v>15.333333333333334</v>
      </c>
      <c r="AC276" s="22"/>
      <c r="AD276" s="50"/>
      <c r="AE276" s="50"/>
      <c r="AF276" s="50"/>
      <c r="AG276" s="50"/>
      <c r="AH276" s="50">
        <f>AV276</f>
        <v>46</v>
      </c>
      <c r="AI276" s="120"/>
      <c r="AJ276" s="96">
        <f t="shared" si="99"/>
        <v>46</v>
      </c>
      <c r="AK276" s="97">
        <f>IF(C276=2011, AJ276/3,AJ276)+AI276</f>
        <v>46</v>
      </c>
      <c r="AL276" s="22"/>
      <c r="AM276" s="13"/>
      <c r="AN276" s="13"/>
      <c r="AO276" s="13"/>
      <c r="AP276" s="13"/>
      <c r="AQ276" s="13"/>
      <c r="AR276" s="13">
        <f>0+4</f>
        <v>4</v>
      </c>
      <c r="AS276" s="13">
        <f>42</f>
        <v>42</v>
      </c>
      <c r="AT276" s="95"/>
      <c r="AU276" s="96">
        <f>SUM(AM276:AS276)</f>
        <v>46</v>
      </c>
      <c r="AV276" s="97">
        <f>IF(C276=2010, AU276/3,AU276)+AT276</f>
        <v>46</v>
      </c>
    </row>
    <row r="277" spans="1:67" s="3" customFormat="1" x14ac:dyDescent="0.25">
      <c r="A277" s="61" t="s">
        <v>149</v>
      </c>
      <c r="B277" s="85" t="s">
        <v>64</v>
      </c>
      <c r="C277" s="63">
        <v>2008</v>
      </c>
      <c r="D277" s="1">
        <f t="shared" si="78"/>
        <v>1.3333333333333333</v>
      </c>
      <c r="E277" s="283"/>
      <c r="F277" s="278"/>
      <c r="G277" s="120"/>
      <c r="H277" s="13"/>
      <c r="I277" s="267"/>
      <c r="J277" s="267"/>
      <c r="K277" s="267"/>
      <c r="L277" s="267"/>
      <c r="M277" s="267"/>
      <c r="N277" s="267">
        <f t="shared" si="79"/>
        <v>1.3333333333333333</v>
      </c>
      <c r="O277" s="120"/>
      <c r="P277" s="96">
        <f t="shared" si="80"/>
        <v>1.3333333333333333</v>
      </c>
      <c r="Q277" s="97">
        <f t="shared" si="81"/>
        <v>1.3333333333333333</v>
      </c>
      <c r="R277" s="267"/>
      <c r="S277" s="201"/>
      <c r="T277" s="192"/>
      <c r="U277" s="183"/>
      <c r="V277" s="168"/>
      <c r="W277" s="50"/>
      <c r="X277" s="50"/>
      <c r="Y277" s="215">
        <f t="shared" si="98"/>
        <v>4</v>
      </c>
      <c r="Z277" s="120"/>
      <c r="AA277" s="96">
        <f t="shared" si="94"/>
        <v>4</v>
      </c>
      <c r="AB277" s="97">
        <f>IF(C277=2008, AA277/3,AA277)+Z277</f>
        <v>1.3333333333333333</v>
      </c>
      <c r="AC277" s="22"/>
      <c r="AD277" s="50"/>
      <c r="AE277" s="50"/>
      <c r="AF277" s="50"/>
      <c r="AG277" s="50"/>
      <c r="AH277" s="50">
        <f>AV277</f>
        <v>4</v>
      </c>
      <c r="AI277" s="120"/>
      <c r="AJ277" s="96">
        <f t="shared" si="99"/>
        <v>4</v>
      </c>
      <c r="AK277" s="97">
        <f>IF(C277=2011, AJ277/3,AJ277)+AI277</f>
        <v>4</v>
      </c>
      <c r="AL277" s="22"/>
      <c r="AM277" s="13"/>
      <c r="AN277" s="13">
        <v>4</v>
      </c>
      <c r="AO277" s="13"/>
      <c r="AP277" s="13"/>
      <c r="AQ277" s="13"/>
      <c r="AR277" s="13"/>
      <c r="AS277" s="13"/>
      <c r="AT277" s="95"/>
      <c r="AU277" s="96">
        <f>SUM(AM277:AS277)</f>
        <v>4</v>
      </c>
      <c r="AV277" s="97">
        <f>IF(C277=2010, AU277/3,AU277)+AT277</f>
        <v>4</v>
      </c>
    </row>
    <row r="278" spans="1:67" s="3" customFormat="1" x14ac:dyDescent="0.25">
      <c r="A278" s="53" t="s">
        <v>903</v>
      </c>
      <c r="B278" s="84" t="s">
        <v>63</v>
      </c>
      <c r="C278" s="54">
        <v>2009</v>
      </c>
      <c r="D278" s="1">
        <f t="shared" ref="D278:D312" si="100">Q278+F278+E278</f>
        <v>3.3333333333333335</v>
      </c>
      <c r="E278" s="154"/>
      <c r="F278" s="154"/>
      <c r="G278" s="120"/>
      <c r="H278" s="13"/>
      <c r="I278" s="261"/>
      <c r="J278" s="246"/>
      <c r="K278" s="241"/>
      <c r="L278" s="228"/>
      <c r="M278" s="215"/>
      <c r="N278" s="267">
        <f t="shared" ref="N278:N312" si="101">AB278</f>
        <v>10</v>
      </c>
      <c r="O278" s="120"/>
      <c r="P278" s="96">
        <f t="shared" ref="P278:P312" si="102">I278+J278+K278+L278+M278+N278</f>
        <v>10</v>
      </c>
      <c r="Q278" s="97">
        <f t="shared" ref="Q278:Q312" si="103">IF(C278=2009, P278/3,P278)+O278</f>
        <v>3.3333333333333335</v>
      </c>
      <c r="R278" s="215"/>
      <c r="S278" s="201"/>
      <c r="T278" s="192"/>
      <c r="U278" s="183"/>
      <c r="V278" s="168">
        <f>10</f>
        <v>10</v>
      </c>
      <c r="W278" s="50"/>
      <c r="X278" s="50"/>
      <c r="Y278" s="215">
        <f t="shared" si="98"/>
        <v>0</v>
      </c>
      <c r="Z278" s="120"/>
      <c r="AA278" s="96">
        <f t="shared" si="94"/>
        <v>10</v>
      </c>
      <c r="AB278" s="97">
        <f>IF(C278=2012, AA278/3,AA278)+Z278</f>
        <v>10</v>
      </c>
      <c r="AC278" s="22"/>
      <c r="AD278" s="50"/>
      <c r="AE278" s="50"/>
      <c r="AF278" s="50"/>
      <c r="AG278" s="50"/>
      <c r="AH278" s="50"/>
      <c r="AI278" s="120"/>
      <c r="AJ278" s="96">
        <f t="shared" si="99"/>
        <v>0</v>
      </c>
      <c r="AK278" s="97">
        <f>IF(C278=2011, AJ278/3,AJ278)+AI278</f>
        <v>0</v>
      </c>
      <c r="AL278" s="22"/>
      <c r="AM278" s="41"/>
      <c r="AN278" s="41"/>
      <c r="AO278" s="41"/>
      <c r="AP278" s="41"/>
      <c r="AQ278" s="41"/>
      <c r="AR278" s="41"/>
      <c r="AS278" s="41"/>
      <c r="AT278" s="95"/>
      <c r="AU278" s="96"/>
      <c r="AV278" s="97"/>
    </row>
    <row r="279" spans="1:67" s="3" customFormat="1" x14ac:dyDescent="0.25">
      <c r="A279" s="60" t="s">
        <v>533</v>
      </c>
      <c r="B279" s="65" t="s">
        <v>529</v>
      </c>
      <c r="C279" s="62">
        <v>2005</v>
      </c>
      <c r="D279" s="1">
        <f t="shared" si="100"/>
        <v>23</v>
      </c>
      <c r="E279" s="283"/>
      <c r="F279" s="278"/>
      <c r="G279" s="120"/>
      <c r="H279" s="13"/>
      <c r="I279" s="261"/>
      <c r="J279" s="246"/>
      <c r="K279" s="241"/>
      <c r="L279" s="228"/>
      <c r="M279" s="215"/>
      <c r="N279" s="267">
        <f t="shared" si="101"/>
        <v>23</v>
      </c>
      <c r="O279" s="152"/>
      <c r="P279" s="96">
        <f t="shared" si="102"/>
        <v>23</v>
      </c>
      <c r="Q279" s="97">
        <f t="shared" si="103"/>
        <v>23</v>
      </c>
      <c r="R279" s="215"/>
      <c r="S279" s="201"/>
      <c r="T279" s="192"/>
      <c r="U279" s="183"/>
      <c r="V279" s="168"/>
      <c r="W279" s="50"/>
      <c r="X279" s="50"/>
      <c r="Y279" s="215">
        <f t="shared" si="98"/>
        <v>23</v>
      </c>
      <c r="Z279" s="120"/>
      <c r="AA279" s="96">
        <f t="shared" si="94"/>
        <v>23</v>
      </c>
      <c r="AB279" s="97">
        <f>IF(C279=2008, AA279/3,AA279)+Z279</f>
        <v>23</v>
      </c>
      <c r="AC279" s="22"/>
      <c r="AD279" s="50"/>
      <c r="AE279" s="50"/>
      <c r="AF279" s="50"/>
      <c r="AG279" s="50"/>
      <c r="AH279" s="50">
        <f>AV279</f>
        <v>23</v>
      </c>
      <c r="AI279" s="120"/>
      <c r="AJ279" s="96">
        <f t="shared" si="99"/>
        <v>23</v>
      </c>
      <c r="AK279" s="97">
        <f>IF(C279=2007, AJ279/3,AJ279)+AI279</f>
        <v>23</v>
      </c>
      <c r="AL279" s="22"/>
      <c r="AM279" s="26"/>
      <c r="AN279" s="26"/>
      <c r="AO279" s="26"/>
      <c r="AP279" s="26"/>
      <c r="AQ279" s="26"/>
      <c r="AR279" s="26">
        <f>0</f>
        <v>0</v>
      </c>
      <c r="AS279" s="26">
        <f>23</f>
        <v>23</v>
      </c>
      <c r="AT279" s="95"/>
      <c r="AU279" s="96">
        <f>SUM(AM279:AS279)</f>
        <v>23</v>
      </c>
      <c r="AV279" s="97">
        <f>IF(C279=2006, AU279/3,AU279)+AT279</f>
        <v>23</v>
      </c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</row>
    <row r="280" spans="1:67" s="3" customFormat="1" x14ac:dyDescent="0.25">
      <c r="A280" s="11" t="s">
        <v>791</v>
      </c>
      <c r="B280" s="60" t="s">
        <v>64</v>
      </c>
      <c r="C280" s="62">
        <v>2006</v>
      </c>
      <c r="D280" s="1">
        <f t="shared" si="100"/>
        <v>18</v>
      </c>
      <c r="E280" s="283"/>
      <c r="F280" s="278"/>
      <c r="G280" s="120"/>
      <c r="H280" s="13"/>
      <c r="I280" s="261"/>
      <c r="J280" s="246"/>
      <c r="K280" s="241"/>
      <c r="L280" s="228"/>
      <c r="M280" s="215"/>
      <c r="N280" s="267">
        <f t="shared" si="101"/>
        <v>18</v>
      </c>
      <c r="O280" s="152"/>
      <c r="P280" s="96">
        <f t="shared" si="102"/>
        <v>18</v>
      </c>
      <c r="Q280" s="97">
        <f t="shared" si="103"/>
        <v>18</v>
      </c>
      <c r="R280" s="215"/>
      <c r="S280" s="201"/>
      <c r="T280" s="192"/>
      <c r="U280" s="183"/>
      <c r="V280" s="168"/>
      <c r="W280" s="50">
        <f>0+3</f>
        <v>3</v>
      </c>
      <c r="X280" s="50">
        <f>9+6</f>
        <v>15</v>
      </c>
      <c r="Y280" s="215">
        <f t="shared" si="98"/>
        <v>0</v>
      </c>
      <c r="Z280" s="120"/>
      <c r="AA280" s="96">
        <f t="shared" si="94"/>
        <v>18</v>
      </c>
      <c r="AB280" s="97">
        <f>IF(C280=2008, AA280/3,AA280)+Z280</f>
        <v>18</v>
      </c>
      <c r="AC280" s="22"/>
      <c r="AD280" s="50"/>
      <c r="AE280" s="50"/>
      <c r="AF280" s="50"/>
      <c r="AG280" s="50"/>
      <c r="AH280" s="50"/>
      <c r="AI280" s="120"/>
      <c r="AJ280" s="96"/>
      <c r="AK280" s="97"/>
      <c r="AL280" s="22"/>
      <c r="AM280" s="41"/>
      <c r="AN280" s="41"/>
      <c r="AO280" s="41"/>
      <c r="AP280" s="41"/>
      <c r="AQ280" s="41"/>
      <c r="AR280" s="41"/>
      <c r="AS280" s="13"/>
      <c r="AT280" s="95"/>
      <c r="AU280" s="96"/>
      <c r="AV280" s="97"/>
    </row>
    <row r="281" spans="1:67" s="27" customFormat="1" x14ac:dyDescent="0.25">
      <c r="A281" s="71" t="s">
        <v>277</v>
      </c>
      <c r="B281" s="293" t="s">
        <v>231</v>
      </c>
      <c r="C281" s="292">
        <v>2008</v>
      </c>
      <c r="D281" s="1">
        <f t="shared" si="100"/>
        <v>8.6666666666666661</v>
      </c>
      <c r="E281" s="287"/>
      <c r="F281" s="287"/>
      <c r="G281" s="120"/>
      <c r="H281" s="13"/>
      <c r="I281" s="261"/>
      <c r="J281" s="246"/>
      <c r="K281" s="241"/>
      <c r="L281" s="228"/>
      <c r="M281" s="215"/>
      <c r="N281" s="267">
        <f t="shared" si="101"/>
        <v>8.6666666666666661</v>
      </c>
      <c r="O281" s="152"/>
      <c r="P281" s="96">
        <f t="shared" si="102"/>
        <v>8.6666666666666661</v>
      </c>
      <c r="Q281" s="97">
        <f t="shared" si="103"/>
        <v>8.6666666666666661</v>
      </c>
      <c r="R281" s="215"/>
      <c r="S281" s="201"/>
      <c r="T281" s="192"/>
      <c r="U281" s="183"/>
      <c r="V281" s="168"/>
      <c r="W281" s="50"/>
      <c r="X281" s="50"/>
      <c r="Y281" s="215">
        <f t="shared" si="98"/>
        <v>26</v>
      </c>
      <c r="Z281" s="120"/>
      <c r="AA281" s="96">
        <f t="shared" si="94"/>
        <v>26</v>
      </c>
      <c r="AB281" s="97">
        <f>IF(C281=2008, AA281/3,AA281)+Z281</f>
        <v>8.6666666666666661</v>
      </c>
      <c r="AC281" s="22"/>
      <c r="AD281" s="50"/>
      <c r="AE281" s="50"/>
      <c r="AF281" s="50"/>
      <c r="AG281" s="50">
        <f>14</f>
        <v>14</v>
      </c>
      <c r="AH281" s="50">
        <f t="shared" ref="AH281:AH289" si="104">AV281</f>
        <v>12</v>
      </c>
      <c r="AI281" s="120"/>
      <c r="AJ281" s="96">
        <f t="shared" ref="AJ281:AJ293" si="105">SUM(AD281:AH281)</f>
        <v>26</v>
      </c>
      <c r="AK281" s="97">
        <f>IF(C281=2011, AJ281/3,AJ281)+AI281</f>
        <v>26</v>
      </c>
      <c r="AL281" s="22"/>
      <c r="AM281" s="13"/>
      <c r="AN281" s="13"/>
      <c r="AO281" s="13">
        <v>12</v>
      </c>
      <c r="AP281" s="13"/>
      <c r="AQ281" s="13"/>
      <c r="AR281" s="13"/>
      <c r="AS281" s="13"/>
      <c r="AT281" s="95"/>
      <c r="AU281" s="96">
        <f t="shared" ref="AU281:AU289" si="106">SUM(AM281:AS281)</f>
        <v>12</v>
      </c>
      <c r="AV281" s="97">
        <f>IF(C281=2010, AU281/3,AU281)+AT281</f>
        <v>12</v>
      </c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spans="1:67" s="17" customFormat="1" x14ac:dyDescent="0.25">
      <c r="A282" s="61" t="s">
        <v>154</v>
      </c>
      <c r="B282" s="85" t="s">
        <v>64</v>
      </c>
      <c r="C282" s="63">
        <v>2009</v>
      </c>
      <c r="D282" s="1">
        <f t="shared" si="100"/>
        <v>0</v>
      </c>
      <c r="E282" s="283"/>
      <c r="F282" s="278"/>
      <c r="G282" s="120"/>
      <c r="H282" s="13"/>
      <c r="I282" s="261"/>
      <c r="J282" s="246"/>
      <c r="K282" s="241"/>
      <c r="L282" s="228"/>
      <c r="M282" s="215"/>
      <c r="N282" s="267">
        <f t="shared" si="101"/>
        <v>0</v>
      </c>
      <c r="O282" s="120"/>
      <c r="P282" s="96">
        <f t="shared" si="102"/>
        <v>0</v>
      </c>
      <c r="Q282" s="97">
        <f t="shared" si="103"/>
        <v>0</v>
      </c>
      <c r="R282" s="215"/>
      <c r="S282" s="201"/>
      <c r="T282" s="192"/>
      <c r="U282" s="183"/>
      <c r="V282" s="168"/>
      <c r="W282" s="50"/>
      <c r="X282" s="50"/>
      <c r="Y282" s="215">
        <f t="shared" si="98"/>
        <v>0</v>
      </c>
      <c r="Z282" s="120"/>
      <c r="AA282" s="96">
        <f t="shared" si="94"/>
        <v>0</v>
      </c>
      <c r="AB282" s="97">
        <f>IF(C282=2012, AA282/3,AA282)+Z282</f>
        <v>0</v>
      </c>
      <c r="AC282" s="22"/>
      <c r="AD282" s="50"/>
      <c r="AE282" s="50"/>
      <c r="AF282" s="50"/>
      <c r="AG282" s="50"/>
      <c r="AH282" s="50">
        <f t="shared" si="104"/>
        <v>0</v>
      </c>
      <c r="AI282" s="120"/>
      <c r="AJ282" s="96">
        <f t="shared" si="105"/>
        <v>0</v>
      </c>
      <c r="AK282" s="97">
        <f>IF(C282=2011, AJ282/3,AJ282)+AI282</f>
        <v>0</v>
      </c>
      <c r="AL282" s="22"/>
      <c r="AM282" s="13"/>
      <c r="AN282" s="13">
        <v>0</v>
      </c>
      <c r="AO282" s="13"/>
      <c r="AP282" s="13"/>
      <c r="AQ282" s="13"/>
      <c r="AR282" s="13"/>
      <c r="AS282" s="13"/>
      <c r="AT282" s="95"/>
      <c r="AU282" s="96">
        <f t="shared" si="106"/>
        <v>0</v>
      </c>
      <c r="AV282" s="97">
        <f>IF(C282=2010, AU282/3,AU282)+AT282</f>
        <v>0</v>
      </c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spans="1:67" s="3" customFormat="1" x14ac:dyDescent="0.25">
      <c r="A283" s="61" t="s">
        <v>437</v>
      </c>
      <c r="B283" s="85" t="s">
        <v>111</v>
      </c>
      <c r="C283" s="63">
        <v>2009</v>
      </c>
      <c r="D283" s="1">
        <f t="shared" si="100"/>
        <v>1.3333333333333333</v>
      </c>
      <c r="E283" s="287"/>
      <c r="F283" s="287"/>
      <c r="G283" s="120"/>
      <c r="H283" s="13"/>
      <c r="I283" s="261"/>
      <c r="J283" s="246"/>
      <c r="K283" s="241"/>
      <c r="L283" s="231"/>
      <c r="M283" s="231"/>
      <c r="N283" s="267">
        <f t="shared" si="101"/>
        <v>4</v>
      </c>
      <c r="O283" s="120"/>
      <c r="P283" s="96">
        <f t="shared" si="102"/>
        <v>4</v>
      </c>
      <c r="Q283" s="97">
        <f t="shared" si="103"/>
        <v>1.3333333333333333</v>
      </c>
      <c r="R283" s="231"/>
      <c r="S283" s="201"/>
      <c r="T283" s="192"/>
      <c r="U283" s="183"/>
      <c r="V283" s="168"/>
      <c r="W283" s="50"/>
      <c r="X283" s="50"/>
      <c r="Y283" s="215">
        <f t="shared" si="98"/>
        <v>4</v>
      </c>
      <c r="Z283" s="120"/>
      <c r="AA283" s="96">
        <f t="shared" si="94"/>
        <v>4</v>
      </c>
      <c r="AB283" s="97">
        <f>IF(C283=2012, AA283/3,AA283)+Z283</f>
        <v>4</v>
      </c>
      <c r="AC283" s="22"/>
      <c r="AD283" s="50"/>
      <c r="AE283" s="50"/>
      <c r="AF283" s="50"/>
      <c r="AG283" s="50"/>
      <c r="AH283" s="50">
        <f t="shared" si="104"/>
        <v>4</v>
      </c>
      <c r="AI283" s="120"/>
      <c r="AJ283" s="96">
        <f t="shared" si="105"/>
        <v>4</v>
      </c>
      <c r="AK283" s="97">
        <f>IF(C283=2011, AJ283/3,AJ283)+AI283</f>
        <v>4</v>
      </c>
      <c r="AL283" s="22"/>
      <c r="AM283" s="13"/>
      <c r="AN283" s="13"/>
      <c r="AO283" s="13"/>
      <c r="AP283" s="13"/>
      <c r="AQ283" s="13">
        <f>4</f>
        <v>4</v>
      </c>
      <c r="AR283" s="13"/>
      <c r="AS283" s="13"/>
      <c r="AT283" s="95"/>
      <c r="AU283" s="96">
        <f t="shared" si="106"/>
        <v>4</v>
      </c>
      <c r="AV283" s="97">
        <f>IF(C283=2010, AU283/3,AU283)+AT283</f>
        <v>4</v>
      </c>
    </row>
    <row r="284" spans="1:67" s="17" customFormat="1" x14ac:dyDescent="0.25">
      <c r="A284" s="60" t="s">
        <v>151</v>
      </c>
      <c r="B284" s="65" t="s">
        <v>87</v>
      </c>
      <c r="C284" s="62">
        <v>2006</v>
      </c>
      <c r="D284" s="1">
        <f t="shared" si="100"/>
        <v>7</v>
      </c>
      <c r="E284" s="287"/>
      <c r="F284" s="287"/>
      <c r="G284" s="120"/>
      <c r="H284" s="13"/>
      <c r="I284" s="261"/>
      <c r="J284" s="246"/>
      <c r="K284" s="241"/>
      <c r="L284" s="228"/>
      <c r="M284" s="215"/>
      <c r="N284" s="267">
        <f t="shared" si="101"/>
        <v>7</v>
      </c>
      <c r="O284" s="120"/>
      <c r="P284" s="96">
        <f t="shared" si="102"/>
        <v>7</v>
      </c>
      <c r="Q284" s="97">
        <f t="shared" si="103"/>
        <v>7</v>
      </c>
      <c r="R284" s="215"/>
      <c r="S284" s="287"/>
      <c r="T284" s="287"/>
      <c r="U284" s="287"/>
      <c r="V284" s="287"/>
      <c r="W284" s="287"/>
      <c r="X284" s="287"/>
      <c r="Y284" s="215">
        <f t="shared" si="98"/>
        <v>7</v>
      </c>
      <c r="Z284" s="120"/>
      <c r="AA284" s="96">
        <f t="shared" si="94"/>
        <v>7</v>
      </c>
      <c r="AB284" s="97">
        <f>IF(C284=2008, AA284/3,AA284)+Z284</f>
        <v>7</v>
      </c>
      <c r="AC284" s="22"/>
      <c r="AD284" s="287"/>
      <c r="AE284" s="287"/>
      <c r="AF284" s="287"/>
      <c r="AG284" s="287"/>
      <c r="AH284" s="287">
        <f t="shared" si="104"/>
        <v>7</v>
      </c>
      <c r="AI284" s="120"/>
      <c r="AJ284" s="96">
        <f t="shared" si="105"/>
        <v>7</v>
      </c>
      <c r="AK284" s="97">
        <f>IF(C284=2007, AJ284/3,AJ284)+AI284</f>
        <v>7</v>
      </c>
      <c r="AL284" s="22"/>
      <c r="AM284" s="13"/>
      <c r="AN284" s="13">
        <f>19+2</f>
        <v>21</v>
      </c>
      <c r="AO284" s="13"/>
      <c r="AP284" s="13"/>
      <c r="AQ284" s="13"/>
      <c r="AR284" s="13"/>
      <c r="AS284" s="13"/>
      <c r="AT284" s="95"/>
      <c r="AU284" s="96">
        <f t="shared" si="106"/>
        <v>21</v>
      </c>
      <c r="AV284" s="97">
        <f>IF(C284=2006, AU284/3,AU284)+AT284</f>
        <v>7</v>
      </c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</row>
    <row r="285" spans="1:67" x14ac:dyDescent="0.25">
      <c r="A285" s="60" t="s">
        <v>497</v>
      </c>
      <c r="B285" s="65" t="s">
        <v>36</v>
      </c>
      <c r="C285" s="62">
        <v>2007</v>
      </c>
      <c r="D285" s="1">
        <f t="shared" si="100"/>
        <v>5</v>
      </c>
      <c r="E285" s="287"/>
      <c r="F285" s="287"/>
      <c r="I285" s="287"/>
      <c r="J285" s="287"/>
      <c r="K285" s="287"/>
      <c r="L285" s="287"/>
      <c r="M285" s="287"/>
      <c r="N285" s="267">
        <f t="shared" si="101"/>
        <v>5</v>
      </c>
      <c r="O285" s="152"/>
      <c r="P285" s="96">
        <f t="shared" si="102"/>
        <v>5</v>
      </c>
      <c r="Q285" s="97">
        <f t="shared" si="103"/>
        <v>5</v>
      </c>
      <c r="R285" s="287"/>
      <c r="S285" s="228"/>
      <c r="T285" s="228"/>
      <c r="U285" s="228"/>
      <c r="V285" s="228"/>
      <c r="W285" s="228"/>
      <c r="X285" s="228"/>
      <c r="Y285" s="228">
        <f t="shared" si="98"/>
        <v>5</v>
      </c>
      <c r="Z285" s="120"/>
      <c r="AA285" s="96">
        <f t="shared" si="94"/>
        <v>5</v>
      </c>
      <c r="AB285" s="97">
        <f>IF(C285=2008, AA285/3,AA285)+Z285</f>
        <v>5</v>
      </c>
      <c r="AC285" s="22"/>
      <c r="AD285" s="74"/>
      <c r="AE285" s="74"/>
      <c r="AF285" s="228"/>
      <c r="AG285" s="228">
        <f>2</f>
        <v>2</v>
      </c>
      <c r="AH285" s="228">
        <f t="shared" si="104"/>
        <v>13</v>
      </c>
      <c r="AI285" s="120"/>
      <c r="AJ285" s="96">
        <f t="shared" si="105"/>
        <v>15</v>
      </c>
      <c r="AK285" s="97">
        <f>IF(C285=2007, AJ285/3,AJ285)+AI285</f>
        <v>5</v>
      </c>
      <c r="AL285" s="22"/>
      <c r="AM285" s="13"/>
      <c r="AN285" s="13"/>
      <c r="AO285" s="13"/>
      <c r="AP285" s="13"/>
      <c r="AQ285" s="13"/>
      <c r="AR285" s="13">
        <f>9+4</f>
        <v>13</v>
      </c>
      <c r="AS285" s="13"/>
      <c r="AT285" s="95"/>
      <c r="AU285" s="96">
        <f t="shared" si="106"/>
        <v>13</v>
      </c>
      <c r="AV285" s="97">
        <f>IF(C285=2010, AU285/3,AU285)+AT285</f>
        <v>13</v>
      </c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spans="1:67" x14ac:dyDescent="0.25">
      <c r="A286" s="60" t="s">
        <v>440</v>
      </c>
      <c r="B286" s="65" t="s">
        <v>63</v>
      </c>
      <c r="C286" s="62">
        <v>2009</v>
      </c>
      <c r="D286" s="1">
        <f t="shared" si="100"/>
        <v>0</v>
      </c>
      <c r="E286" s="287"/>
      <c r="F286" s="287"/>
      <c r="N286" s="267">
        <f t="shared" si="101"/>
        <v>0</v>
      </c>
      <c r="O286" s="120"/>
      <c r="P286" s="96">
        <f t="shared" si="102"/>
        <v>0</v>
      </c>
      <c r="Q286" s="97">
        <f t="shared" si="103"/>
        <v>0</v>
      </c>
      <c r="S286" s="287"/>
      <c r="T286" s="287"/>
      <c r="U286" s="287"/>
      <c r="V286" s="287">
        <f>0</f>
        <v>0</v>
      </c>
      <c r="W286" s="287"/>
      <c r="X286" s="287"/>
      <c r="Y286" s="228">
        <f t="shared" si="98"/>
        <v>0</v>
      </c>
      <c r="Z286" s="120"/>
      <c r="AA286" s="96">
        <f t="shared" si="94"/>
        <v>0</v>
      </c>
      <c r="AB286" s="97">
        <f>IF(C286=2012, AA286/3,AA286)+Z286</f>
        <v>0</v>
      </c>
      <c r="AC286" s="22"/>
      <c r="AD286" s="287"/>
      <c r="AE286" s="287"/>
      <c r="AF286" s="287"/>
      <c r="AG286" s="287"/>
      <c r="AH286" s="287">
        <f t="shared" si="104"/>
        <v>0</v>
      </c>
      <c r="AI286" s="120"/>
      <c r="AJ286" s="96">
        <f t="shared" si="105"/>
        <v>0</v>
      </c>
      <c r="AK286" s="97">
        <f>IF(C286=2011, AJ286/3,AJ286)+AI286</f>
        <v>0</v>
      </c>
      <c r="AL286" s="22"/>
      <c r="AM286" s="13"/>
      <c r="AN286" s="13"/>
      <c r="AO286" s="13"/>
      <c r="AP286" s="13"/>
      <c r="AQ286" s="13">
        <f>0</f>
        <v>0</v>
      </c>
      <c r="AR286" s="13"/>
      <c r="AS286" s="13"/>
      <c r="AT286" s="95"/>
      <c r="AU286" s="96">
        <f t="shared" si="106"/>
        <v>0</v>
      </c>
      <c r="AV286" s="97">
        <f>IF(C286=2010, AU286/3,AU286)+AT286</f>
        <v>0</v>
      </c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spans="1:67" s="3" customFormat="1" x14ac:dyDescent="0.25">
      <c r="A287" s="60" t="s">
        <v>186</v>
      </c>
      <c r="B287" s="65" t="s">
        <v>86</v>
      </c>
      <c r="C287" s="62">
        <v>2007</v>
      </c>
      <c r="D287" s="1">
        <f t="shared" si="100"/>
        <v>28</v>
      </c>
      <c r="E287" s="283"/>
      <c r="F287" s="278"/>
      <c r="G287" s="120"/>
      <c r="H287" s="13"/>
      <c r="I287" s="261"/>
      <c r="J287" s="246"/>
      <c r="K287" s="241"/>
      <c r="L287" s="228"/>
      <c r="M287" s="215"/>
      <c r="N287" s="267">
        <f t="shared" si="101"/>
        <v>28</v>
      </c>
      <c r="O287" s="152"/>
      <c r="P287" s="96">
        <f t="shared" si="102"/>
        <v>28</v>
      </c>
      <c r="Q287" s="97">
        <f t="shared" si="103"/>
        <v>28</v>
      </c>
      <c r="R287" s="215"/>
      <c r="S287" s="228"/>
      <c r="T287" s="228"/>
      <c r="U287" s="228"/>
      <c r="V287" s="228"/>
      <c r="W287" s="228"/>
      <c r="X287" s="228"/>
      <c r="Y287" s="228">
        <f t="shared" si="98"/>
        <v>28</v>
      </c>
      <c r="Z287" s="120"/>
      <c r="AA287" s="96">
        <f t="shared" si="94"/>
        <v>28</v>
      </c>
      <c r="AB287" s="97">
        <f t="shared" ref="AB287:AB296" si="107">IF(C287=2008, AA287/3,AA287)+Z287</f>
        <v>28</v>
      </c>
      <c r="AC287" s="22"/>
      <c r="AD287" s="267"/>
      <c r="AE287" s="228"/>
      <c r="AF287" s="228"/>
      <c r="AG287" s="228"/>
      <c r="AH287" s="228">
        <f t="shared" si="104"/>
        <v>84</v>
      </c>
      <c r="AI287" s="120"/>
      <c r="AJ287" s="96">
        <f t="shared" si="105"/>
        <v>84</v>
      </c>
      <c r="AK287" s="97">
        <f>IF(C287=2007, AJ287/3,AJ287)+AI287</f>
        <v>28</v>
      </c>
      <c r="AL287" s="22"/>
      <c r="AM287" s="13"/>
      <c r="AN287" s="13">
        <f>57+24</f>
        <v>81</v>
      </c>
      <c r="AO287" s="13"/>
      <c r="AP287" s="13"/>
      <c r="AQ287" s="13"/>
      <c r="AR287" s="13">
        <v>0</v>
      </c>
      <c r="AS287" s="13"/>
      <c r="AT287" s="95">
        <f>3</f>
        <v>3</v>
      </c>
      <c r="AU287" s="96">
        <f t="shared" si="106"/>
        <v>81</v>
      </c>
      <c r="AV287" s="97">
        <f>IF(C287=2010, AU287/3,AU287)+AT287</f>
        <v>84</v>
      </c>
    </row>
    <row r="288" spans="1:67" s="3" customFormat="1" x14ac:dyDescent="0.25">
      <c r="A288" s="60" t="s">
        <v>214</v>
      </c>
      <c r="B288" s="65" t="s">
        <v>86</v>
      </c>
      <c r="C288" s="62">
        <v>2001</v>
      </c>
      <c r="D288" s="1">
        <f t="shared" si="100"/>
        <v>36</v>
      </c>
      <c r="E288" s="108"/>
      <c r="F288" s="108"/>
      <c r="G288" s="120"/>
      <c r="H288" s="101"/>
      <c r="I288" s="108"/>
      <c r="J288" s="108"/>
      <c r="K288" s="108"/>
      <c r="L288" s="108"/>
      <c r="M288" s="108"/>
      <c r="N288" s="267">
        <f t="shared" si="101"/>
        <v>36</v>
      </c>
      <c r="O288" s="122"/>
      <c r="P288" s="96">
        <f t="shared" si="102"/>
        <v>36</v>
      </c>
      <c r="Q288" s="97">
        <f t="shared" si="103"/>
        <v>36</v>
      </c>
      <c r="R288" s="108"/>
      <c r="S288" s="267"/>
      <c r="T288" s="267"/>
      <c r="U288" s="267"/>
      <c r="V288" s="267"/>
      <c r="W288" s="267"/>
      <c r="X288" s="267"/>
      <c r="Y288" s="267">
        <f t="shared" si="98"/>
        <v>36</v>
      </c>
      <c r="Z288" s="120"/>
      <c r="AA288" s="96">
        <f t="shared" si="94"/>
        <v>36</v>
      </c>
      <c r="AB288" s="97">
        <f t="shared" si="107"/>
        <v>36</v>
      </c>
      <c r="AC288" s="22"/>
      <c r="AD288" s="267"/>
      <c r="AE288" s="267"/>
      <c r="AF288" s="267"/>
      <c r="AG288" s="267"/>
      <c r="AH288" s="267">
        <f t="shared" si="104"/>
        <v>36</v>
      </c>
      <c r="AI288" s="120"/>
      <c r="AJ288" s="96">
        <f t="shared" si="105"/>
        <v>36</v>
      </c>
      <c r="AK288" s="97">
        <f>IF(C288=2007, AJ288/3,AJ288)+AI288</f>
        <v>36</v>
      </c>
      <c r="AL288" s="22"/>
      <c r="AM288" s="26"/>
      <c r="AN288" s="26">
        <v>24</v>
      </c>
      <c r="AO288" s="26"/>
      <c r="AP288" s="26">
        <f>9</f>
        <v>9</v>
      </c>
      <c r="AQ288" s="26"/>
      <c r="AR288" s="26">
        <f>3</f>
        <v>3</v>
      </c>
      <c r="AS288" s="26"/>
      <c r="AT288" s="95"/>
      <c r="AU288" s="96">
        <f t="shared" si="106"/>
        <v>36</v>
      </c>
      <c r="AV288" s="97">
        <f>IF(C288=2006, AU288/3,AU288)+AT288</f>
        <v>36</v>
      </c>
    </row>
    <row r="289" spans="1:67" s="3" customFormat="1" ht="16.5" customHeight="1" x14ac:dyDescent="0.25">
      <c r="A289" s="60" t="s">
        <v>217</v>
      </c>
      <c r="B289" s="65" t="s">
        <v>87</v>
      </c>
      <c r="C289" s="62">
        <v>2004</v>
      </c>
      <c r="D289" s="1">
        <f t="shared" si="100"/>
        <v>15</v>
      </c>
      <c r="E289" s="108"/>
      <c r="F289" s="108"/>
      <c r="G289" s="120"/>
      <c r="H289" s="101"/>
      <c r="I289" s="261"/>
      <c r="J289" s="246"/>
      <c r="K289" s="241"/>
      <c r="L289" s="228"/>
      <c r="M289" s="215"/>
      <c r="N289" s="267">
        <f t="shared" si="101"/>
        <v>15</v>
      </c>
      <c r="O289" s="152"/>
      <c r="P289" s="96">
        <f t="shared" si="102"/>
        <v>15</v>
      </c>
      <c r="Q289" s="97">
        <f t="shared" si="103"/>
        <v>15</v>
      </c>
      <c r="R289" s="215"/>
      <c r="S289" s="201"/>
      <c r="T289" s="201"/>
      <c r="U289" s="201"/>
      <c r="V289" s="201"/>
      <c r="W289" s="201"/>
      <c r="X289" s="201"/>
      <c r="Y289" s="215">
        <f t="shared" si="98"/>
        <v>15</v>
      </c>
      <c r="Z289" s="120"/>
      <c r="AA289" s="96">
        <f t="shared" si="94"/>
        <v>15</v>
      </c>
      <c r="AB289" s="97">
        <f t="shared" si="107"/>
        <v>15</v>
      </c>
      <c r="AC289" s="22"/>
      <c r="AD289" s="228"/>
      <c r="AE289" s="201"/>
      <c r="AF289" s="201"/>
      <c r="AG289" s="201"/>
      <c r="AH289" s="201">
        <f t="shared" si="104"/>
        <v>15</v>
      </c>
      <c r="AI289" s="120"/>
      <c r="AJ289" s="96">
        <f t="shared" si="105"/>
        <v>15</v>
      </c>
      <c r="AK289" s="97">
        <f>IF(C289=2007, AJ289/3,AJ289)+AI289</f>
        <v>15</v>
      </c>
      <c r="AL289" s="22"/>
      <c r="AM289" s="26"/>
      <c r="AN289" s="26">
        <f>3+12</f>
        <v>15</v>
      </c>
      <c r="AO289" s="26"/>
      <c r="AP289" s="26"/>
      <c r="AQ289" s="26"/>
      <c r="AR289" s="26"/>
      <c r="AS289" s="26"/>
      <c r="AT289" s="95"/>
      <c r="AU289" s="96">
        <f t="shared" si="106"/>
        <v>15</v>
      </c>
      <c r="AV289" s="97">
        <f>IF(C289=2006, AU289/3,AU289)+AT289</f>
        <v>15</v>
      </c>
    </row>
    <row r="290" spans="1:67" s="3" customFormat="1" ht="14.25" customHeight="1" x14ac:dyDescent="0.25">
      <c r="A290" s="11" t="s">
        <v>659</v>
      </c>
      <c r="B290" s="11" t="s">
        <v>64</v>
      </c>
      <c r="C290" s="3">
        <v>2007</v>
      </c>
      <c r="D290" s="1">
        <f t="shared" si="100"/>
        <v>162</v>
      </c>
      <c r="E290" s="108"/>
      <c r="F290" s="108"/>
      <c r="G290" s="120"/>
      <c r="H290" s="101"/>
      <c r="I290" s="261"/>
      <c r="J290" s="246"/>
      <c r="K290" s="241"/>
      <c r="L290" s="228"/>
      <c r="M290" s="215"/>
      <c r="N290" s="267">
        <f t="shared" si="101"/>
        <v>162</v>
      </c>
      <c r="O290" s="152"/>
      <c r="P290" s="96">
        <f t="shared" si="102"/>
        <v>162</v>
      </c>
      <c r="Q290" s="97">
        <f t="shared" si="103"/>
        <v>162</v>
      </c>
      <c r="R290" s="215"/>
      <c r="S290" s="287"/>
      <c r="T290" s="287"/>
      <c r="U290" s="287"/>
      <c r="V290" s="287"/>
      <c r="W290" s="287">
        <f>6</f>
        <v>6</v>
      </c>
      <c r="X290" s="287">
        <f>15</f>
        <v>15</v>
      </c>
      <c r="Y290" s="287">
        <f t="shared" si="98"/>
        <v>141</v>
      </c>
      <c r="Z290" s="120"/>
      <c r="AA290" s="96">
        <f t="shared" si="94"/>
        <v>162</v>
      </c>
      <c r="AB290" s="97">
        <f t="shared" si="107"/>
        <v>162</v>
      </c>
      <c r="AC290" s="22"/>
      <c r="AD290" s="287"/>
      <c r="AE290" s="287"/>
      <c r="AF290" s="287">
        <f>141</f>
        <v>141</v>
      </c>
      <c r="AG290" s="287"/>
      <c r="AH290" s="287"/>
      <c r="AI290" s="120"/>
      <c r="AJ290" s="96">
        <f t="shared" si="105"/>
        <v>141</v>
      </c>
      <c r="AK290" s="97">
        <f>IF(C290=2011, AJ290/3,AJ290)+AI290</f>
        <v>141</v>
      </c>
      <c r="AL290" s="22"/>
      <c r="AM290" s="287"/>
      <c r="AN290" s="287"/>
      <c r="AO290" s="287"/>
      <c r="AP290" s="287"/>
      <c r="AQ290" s="287"/>
      <c r="AR290" s="287"/>
      <c r="AS290" s="285"/>
      <c r="AT290" s="95"/>
      <c r="AU290" s="96"/>
      <c r="AV290" s="97"/>
    </row>
    <row r="291" spans="1:67" s="3" customFormat="1" ht="16.5" customHeight="1" x14ac:dyDescent="0.25">
      <c r="A291" s="60" t="s">
        <v>506</v>
      </c>
      <c r="B291" s="85" t="s">
        <v>63</v>
      </c>
      <c r="C291" s="62">
        <v>2006</v>
      </c>
      <c r="D291" s="1">
        <f t="shared" si="100"/>
        <v>128.33333333333331</v>
      </c>
      <c r="E291" s="287"/>
      <c r="F291" s="287"/>
      <c r="G291" s="120"/>
      <c r="H291" s="13"/>
      <c r="I291" s="108"/>
      <c r="J291" s="108"/>
      <c r="K291" s="108"/>
      <c r="L291" s="108"/>
      <c r="M291" s="108"/>
      <c r="N291" s="267">
        <f t="shared" si="101"/>
        <v>128.33333333333331</v>
      </c>
      <c r="O291" s="122"/>
      <c r="P291" s="96">
        <f t="shared" si="102"/>
        <v>128.33333333333331</v>
      </c>
      <c r="Q291" s="97">
        <f t="shared" si="103"/>
        <v>128.33333333333331</v>
      </c>
      <c r="R291" s="108"/>
      <c r="S291" s="267"/>
      <c r="T291" s="267"/>
      <c r="U291" s="267"/>
      <c r="V291" s="267">
        <f>9</f>
        <v>9</v>
      </c>
      <c r="W291" s="267">
        <f>9</f>
        <v>9</v>
      </c>
      <c r="X291" s="267"/>
      <c r="Y291" s="267">
        <f t="shared" si="98"/>
        <v>110.33333333333333</v>
      </c>
      <c r="Z291" s="120"/>
      <c r="AA291" s="96">
        <f t="shared" si="94"/>
        <v>128.33333333333331</v>
      </c>
      <c r="AB291" s="97">
        <f t="shared" si="107"/>
        <v>128.33333333333331</v>
      </c>
      <c r="AC291" s="22"/>
      <c r="AD291" s="267"/>
      <c r="AE291" s="267"/>
      <c r="AF291" s="267">
        <f>6</f>
        <v>6</v>
      </c>
      <c r="AG291" s="267">
        <f>9+3+3</f>
        <v>15</v>
      </c>
      <c r="AH291" s="267">
        <f>AV291</f>
        <v>89.333333333333329</v>
      </c>
      <c r="AI291" s="120"/>
      <c r="AJ291" s="96">
        <f t="shared" si="105"/>
        <v>110.33333333333333</v>
      </c>
      <c r="AK291" s="97">
        <f>IF(C291=2007, AJ291/3,AJ291)+AI291</f>
        <v>110.33333333333333</v>
      </c>
      <c r="AL291" s="22"/>
      <c r="AM291" s="13"/>
      <c r="AN291" s="13"/>
      <c r="AO291" s="13"/>
      <c r="AP291" s="13"/>
      <c r="AQ291" s="13"/>
      <c r="AR291" s="13">
        <f>14</f>
        <v>14</v>
      </c>
      <c r="AS291" s="13">
        <f>227</f>
        <v>227</v>
      </c>
      <c r="AT291" s="95">
        <f>3+6</f>
        <v>9</v>
      </c>
      <c r="AU291" s="96">
        <f>SUM(AM291:AS291)</f>
        <v>241</v>
      </c>
      <c r="AV291" s="97">
        <f>IF(C291=2006, AU291/3,AU291)+AT291</f>
        <v>89.333333333333329</v>
      </c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</row>
    <row r="292" spans="1:67" s="3" customFormat="1" x14ac:dyDescent="0.25">
      <c r="A292" s="11" t="s">
        <v>747</v>
      </c>
      <c r="B292" s="11" t="s">
        <v>63</v>
      </c>
      <c r="C292" s="3">
        <v>2008</v>
      </c>
      <c r="D292" s="1">
        <f t="shared" si="100"/>
        <v>0.33333333333333331</v>
      </c>
      <c r="E292" s="283"/>
      <c r="F292" s="278"/>
      <c r="G292" s="120"/>
      <c r="H292" s="13"/>
      <c r="I292" s="261"/>
      <c r="J292" s="246"/>
      <c r="K292" s="241"/>
      <c r="L292" s="228"/>
      <c r="M292" s="215"/>
      <c r="N292" s="267">
        <f t="shared" si="101"/>
        <v>0.33333333333333331</v>
      </c>
      <c r="O292" s="120"/>
      <c r="P292" s="96">
        <f t="shared" si="102"/>
        <v>0.33333333333333331</v>
      </c>
      <c r="Q292" s="97">
        <f t="shared" si="103"/>
        <v>0.33333333333333331</v>
      </c>
      <c r="R292" s="215"/>
      <c r="S292" s="267"/>
      <c r="T292" s="267"/>
      <c r="U292" s="267"/>
      <c r="V292" s="267"/>
      <c r="W292" s="267"/>
      <c r="X292" s="267">
        <f>0</f>
        <v>0</v>
      </c>
      <c r="Y292" s="267">
        <f t="shared" si="98"/>
        <v>1</v>
      </c>
      <c r="Z292" s="120"/>
      <c r="AA292" s="96">
        <f t="shared" si="94"/>
        <v>1</v>
      </c>
      <c r="AB292" s="97">
        <f t="shared" si="107"/>
        <v>0.33333333333333331</v>
      </c>
      <c r="AC292" s="22"/>
      <c r="AD292" s="287">
        <f>0+1</f>
        <v>1</v>
      </c>
      <c r="AE292" s="267"/>
      <c r="AF292" s="267"/>
      <c r="AG292" s="267"/>
      <c r="AH292" s="267"/>
      <c r="AI292" s="120"/>
      <c r="AJ292" s="96">
        <f t="shared" si="105"/>
        <v>1</v>
      </c>
      <c r="AK292" s="97">
        <f>IF(C292=2011, AJ292/3,AJ292)+AI292</f>
        <v>1</v>
      </c>
      <c r="AL292" s="22"/>
      <c r="AM292" s="287"/>
      <c r="AN292" s="287"/>
      <c r="AO292" s="287"/>
      <c r="AP292" s="287"/>
      <c r="AQ292" s="287"/>
      <c r="AR292" s="287"/>
      <c r="AS292" s="285"/>
      <c r="AT292" s="95"/>
      <c r="AU292" s="96"/>
      <c r="AV292" s="97"/>
    </row>
    <row r="293" spans="1:67" s="3" customFormat="1" x14ac:dyDescent="0.25">
      <c r="A293" s="60" t="s">
        <v>197</v>
      </c>
      <c r="B293" s="65" t="s">
        <v>87</v>
      </c>
      <c r="C293" s="62">
        <v>2006</v>
      </c>
      <c r="D293" s="1">
        <f t="shared" si="100"/>
        <v>1</v>
      </c>
      <c r="E293" s="108"/>
      <c r="F293" s="108"/>
      <c r="G293" s="120"/>
      <c r="H293" s="101"/>
      <c r="I293" s="261"/>
      <c r="J293" s="246"/>
      <c r="K293" s="241"/>
      <c r="L293" s="228"/>
      <c r="M293" s="215"/>
      <c r="N293" s="267">
        <f t="shared" si="101"/>
        <v>1</v>
      </c>
      <c r="O293" s="152"/>
      <c r="P293" s="96">
        <f t="shared" si="102"/>
        <v>1</v>
      </c>
      <c r="Q293" s="97">
        <f t="shared" si="103"/>
        <v>1</v>
      </c>
      <c r="R293" s="215"/>
      <c r="S293" s="287"/>
      <c r="T293" s="287"/>
      <c r="U293" s="287"/>
      <c r="V293" s="287"/>
      <c r="W293" s="287"/>
      <c r="X293" s="287"/>
      <c r="Y293" s="287">
        <f t="shared" si="98"/>
        <v>1</v>
      </c>
      <c r="Z293" s="120"/>
      <c r="AA293" s="96">
        <f t="shared" si="94"/>
        <v>1</v>
      </c>
      <c r="AB293" s="97">
        <f t="shared" si="107"/>
        <v>1</v>
      </c>
      <c r="AC293" s="22"/>
      <c r="AD293" s="287"/>
      <c r="AE293" s="287"/>
      <c r="AF293" s="287"/>
      <c r="AG293" s="287"/>
      <c r="AH293" s="287">
        <f>AV293</f>
        <v>1</v>
      </c>
      <c r="AI293" s="120"/>
      <c r="AJ293" s="96">
        <f t="shared" si="105"/>
        <v>1</v>
      </c>
      <c r="AK293" s="97">
        <f>IF(C293=2007, AJ293/3,AJ293)+AI293</f>
        <v>1</v>
      </c>
      <c r="AL293" s="22"/>
      <c r="AM293" s="13"/>
      <c r="AN293" s="13">
        <f>3</f>
        <v>3</v>
      </c>
      <c r="AO293" s="13"/>
      <c r="AP293" s="13"/>
      <c r="AQ293" s="13"/>
      <c r="AR293" s="13"/>
      <c r="AS293" s="13"/>
      <c r="AT293" s="95"/>
      <c r="AU293" s="96">
        <f>SUM(AM293:AS293)</f>
        <v>3</v>
      </c>
      <c r="AV293" s="97">
        <f>IF(C293=2006, AU293/3,AU293)+AT293</f>
        <v>1</v>
      </c>
    </row>
    <row r="294" spans="1:67" s="3" customFormat="1" x14ac:dyDescent="0.25">
      <c r="A294" s="12" t="s">
        <v>1184</v>
      </c>
      <c r="B294" s="65" t="s">
        <v>86</v>
      </c>
      <c r="C294" s="4">
        <v>2008</v>
      </c>
      <c r="D294" s="1">
        <f t="shared" si="100"/>
        <v>3</v>
      </c>
      <c r="E294" s="283"/>
      <c r="F294" s="278"/>
      <c r="G294" s="120"/>
      <c r="H294" s="13"/>
      <c r="I294" s="261"/>
      <c r="J294" s="246"/>
      <c r="K294" s="241"/>
      <c r="L294" s="228">
        <f>3</f>
        <v>3</v>
      </c>
      <c r="M294" s="215"/>
      <c r="N294" s="267">
        <f t="shared" si="101"/>
        <v>0</v>
      </c>
      <c r="O294" s="152"/>
      <c r="P294" s="96">
        <f t="shared" si="102"/>
        <v>3</v>
      </c>
      <c r="Q294" s="97">
        <f t="shared" si="103"/>
        <v>3</v>
      </c>
      <c r="R294" s="215"/>
      <c r="S294" s="159"/>
      <c r="T294" s="159"/>
      <c r="U294" s="159"/>
      <c r="V294" s="159"/>
      <c r="W294" s="159"/>
      <c r="X294" s="159"/>
      <c r="Y294" s="159"/>
      <c r="Z294" s="26"/>
      <c r="AA294" s="96">
        <f t="shared" ref="AA294:AA308" si="108">S294+T294+U294+V294+W294+X294+Y294</f>
        <v>0</v>
      </c>
      <c r="AB294" s="97">
        <f t="shared" si="107"/>
        <v>0</v>
      </c>
      <c r="AC294" s="26"/>
      <c r="AD294" s="26"/>
      <c r="AE294" s="26"/>
      <c r="AF294" s="26"/>
      <c r="AG294" s="26"/>
      <c r="AH294" s="26"/>
      <c r="AI294" s="26"/>
      <c r="AJ294" s="4"/>
      <c r="AK294" s="4"/>
      <c r="AL294" s="26"/>
      <c r="AM294" s="26"/>
      <c r="AN294" s="26"/>
      <c r="AO294" s="26"/>
      <c r="AP294" s="26"/>
      <c r="AQ294" s="26"/>
      <c r="AR294" s="26"/>
      <c r="AS294" s="26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</row>
    <row r="295" spans="1:67" s="3" customFormat="1" x14ac:dyDescent="0.25">
      <c r="A295" s="60" t="s">
        <v>161</v>
      </c>
      <c r="B295" s="65" t="s">
        <v>63</v>
      </c>
      <c r="C295" s="62">
        <v>2008</v>
      </c>
      <c r="D295" s="1">
        <f t="shared" si="100"/>
        <v>75</v>
      </c>
      <c r="E295" s="283"/>
      <c r="F295" s="278"/>
      <c r="G295" s="120"/>
      <c r="H295" s="13"/>
      <c r="I295" s="261"/>
      <c r="J295" s="246"/>
      <c r="K295" s="241"/>
      <c r="L295" s="228"/>
      <c r="M295" s="215"/>
      <c r="N295" s="267">
        <f t="shared" si="101"/>
        <v>75</v>
      </c>
      <c r="O295" s="152"/>
      <c r="P295" s="96">
        <f t="shared" si="102"/>
        <v>75</v>
      </c>
      <c r="Q295" s="97">
        <f t="shared" si="103"/>
        <v>75</v>
      </c>
      <c r="R295" s="215"/>
      <c r="S295" s="287"/>
      <c r="T295" s="287"/>
      <c r="U295" s="287"/>
      <c r="V295" s="287">
        <f>34</f>
        <v>34</v>
      </c>
      <c r="W295" s="287">
        <f>18+9</f>
        <v>27</v>
      </c>
      <c r="X295" s="287"/>
      <c r="Y295" s="287">
        <f t="shared" ref="Y295:Y308" si="109">AK295</f>
        <v>137</v>
      </c>
      <c r="Z295" s="120">
        <f>9</f>
        <v>9</v>
      </c>
      <c r="AA295" s="96">
        <f t="shared" si="108"/>
        <v>198</v>
      </c>
      <c r="AB295" s="97">
        <f t="shared" si="107"/>
        <v>75</v>
      </c>
      <c r="AC295" s="22"/>
      <c r="AD295" s="287"/>
      <c r="AE295" s="287"/>
      <c r="AF295" s="287">
        <f>45+14</f>
        <v>59</v>
      </c>
      <c r="AG295" s="287">
        <f>28</f>
        <v>28</v>
      </c>
      <c r="AH295" s="287">
        <f>AV295</f>
        <v>47</v>
      </c>
      <c r="AI295" s="120">
        <f>3</f>
        <v>3</v>
      </c>
      <c r="AJ295" s="96">
        <f t="shared" ref="AJ295:AJ302" si="110">SUM(AD295:AH295)</f>
        <v>134</v>
      </c>
      <c r="AK295" s="97">
        <f>IF(C295=2011, AJ295/3,AJ295)+AI295</f>
        <v>137</v>
      </c>
      <c r="AL295" s="22"/>
      <c r="AM295" s="13"/>
      <c r="AN295" s="13">
        <v>12</v>
      </c>
      <c r="AO295" s="13"/>
      <c r="AP295" s="13">
        <f>14</f>
        <v>14</v>
      </c>
      <c r="AQ295" s="13"/>
      <c r="AR295" s="13">
        <f>9+6</f>
        <v>15</v>
      </c>
      <c r="AS295" s="13"/>
      <c r="AT295" s="95">
        <f>6</f>
        <v>6</v>
      </c>
      <c r="AU295" s="96">
        <f>SUM(AM295:AS295)</f>
        <v>41</v>
      </c>
      <c r="AV295" s="97">
        <f>IF(C295=2010, AU295/3,AU295)+AT295</f>
        <v>47</v>
      </c>
    </row>
    <row r="296" spans="1:67" s="3" customFormat="1" x14ac:dyDescent="0.25">
      <c r="A296" s="60" t="s">
        <v>184</v>
      </c>
      <c r="B296" s="85" t="s">
        <v>64</v>
      </c>
      <c r="C296" s="62">
        <v>2007</v>
      </c>
      <c r="D296" s="1">
        <f t="shared" si="100"/>
        <v>32</v>
      </c>
      <c r="E296" s="283"/>
      <c r="F296" s="278"/>
      <c r="G296" s="120"/>
      <c r="H296" s="13"/>
      <c r="I296" s="261"/>
      <c r="J296" s="246"/>
      <c r="K296" s="241"/>
      <c r="L296" s="228"/>
      <c r="M296" s="215"/>
      <c r="N296" s="267">
        <f t="shared" si="101"/>
        <v>32</v>
      </c>
      <c r="O296" s="120"/>
      <c r="P296" s="96">
        <f t="shared" si="102"/>
        <v>32</v>
      </c>
      <c r="Q296" s="97">
        <f t="shared" si="103"/>
        <v>32</v>
      </c>
      <c r="R296" s="215"/>
      <c r="S296" s="287"/>
      <c r="T296" s="287"/>
      <c r="U296" s="287"/>
      <c r="V296" s="287"/>
      <c r="W296" s="287"/>
      <c r="X296" s="287"/>
      <c r="Y296" s="287">
        <f t="shared" si="109"/>
        <v>32</v>
      </c>
      <c r="Z296" s="120"/>
      <c r="AA296" s="96">
        <f t="shared" si="108"/>
        <v>32</v>
      </c>
      <c r="AB296" s="97">
        <f t="shared" si="107"/>
        <v>32</v>
      </c>
      <c r="AC296" s="22"/>
      <c r="AD296" s="287"/>
      <c r="AE296" s="287"/>
      <c r="AF296" s="287">
        <f>30</f>
        <v>30</v>
      </c>
      <c r="AG296" s="287"/>
      <c r="AH296" s="287">
        <f>AV296</f>
        <v>66</v>
      </c>
      <c r="AI296" s="120"/>
      <c r="AJ296" s="96">
        <f t="shared" si="110"/>
        <v>96</v>
      </c>
      <c r="AK296" s="97">
        <f>IF(C296=2007, AJ296/3,AJ296)+AI296</f>
        <v>32</v>
      </c>
      <c r="AL296" s="22"/>
      <c r="AM296" s="13"/>
      <c r="AN296" s="13">
        <v>54</v>
      </c>
      <c r="AO296" s="13"/>
      <c r="AP296" s="13"/>
      <c r="AQ296" s="13"/>
      <c r="AR296" s="13"/>
      <c r="AS296" s="13">
        <f>12</f>
        <v>12</v>
      </c>
      <c r="AT296" s="95"/>
      <c r="AU296" s="96">
        <f>SUM(AM296:AS296)</f>
        <v>66</v>
      </c>
      <c r="AV296" s="97">
        <f>IF(C296=2010, AU296/3,AU296)+AT296</f>
        <v>66</v>
      </c>
    </row>
    <row r="297" spans="1:67" s="27" customFormat="1" x14ac:dyDescent="0.25">
      <c r="A297" s="11" t="s">
        <v>798</v>
      </c>
      <c r="B297" s="11" t="s">
        <v>583</v>
      </c>
      <c r="C297" s="3">
        <v>2009</v>
      </c>
      <c r="D297" s="1">
        <f t="shared" si="100"/>
        <v>1</v>
      </c>
      <c r="E297" s="283"/>
      <c r="F297" s="278"/>
      <c r="G297" s="120"/>
      <c r="H297" s="13"/>
      <c r="I297" s="261"/>
      <c r="J297" s="246"/>
      <c r="K297" s="241"/>
      <c r="L297" s="228"/>
      <c r="M297" s="228"/>
      <c r="N297" s="267">
        <f t="shared" si="101"/>
        <v>3</v>
      </c>
      <c r="O297" s="120"/>
      <c r="P297" s="96">
        <f t="shared" si="102"/>
        <v>3</v>
      </c>
      <c r="Q297" s="97">
        <f t="shared" si="103"/>
        <v>1</v>
      </c>
      <c r="R297" s="228"/>
      <c r="S297" s="287"/>
      <c r="T297" s="287"/>
      <c r="U297" s="287"/>
      <c r="V297" s="287"/>
      <c r="W297" s="287"/>
      <c r="X297" s="287">
        <f>3</f>
        <v>3</v>
      </c>
      <c r="Y297" s="287">
        <f t="shared" si="109"/>
        <v>0</v>
      </c>
      <c r="Z297" s="120"/>
      <c r="AA297" s="96">
        <f t="shared" si="108"/>
        <v>3</v>
      </c>
      <c r="AB297" s="97">
        <f>IF(C297=2012, AA297/3,AA297)+Z297</f>
        <v>3</v>
      </c>
      <c r="AC297" s="22"/>
      <c r="AD297" s="287"/>
      <c r="AE297" s="287"/>
      <c r="AF297" s="287"/>
      <c r="AG297" s="287"/>
      <c r="AH297" s="287"/>
      <c r="AI297" s="120"/>
      <c r="AJ297" s="96">
        <f t="shared" si="110"/>
        <v>0</v>
      </c>
      <c r="AK297" s="97"/>
      <c r="AL297" s="22"/>
      <c r="AM297" s="287"/>
      <c r="AN297" s="287"/>
      <c r="AO297" s="287"/>
      <c r="AP297" s="287"/>
      <c r="AQ297" s="287"/>
      <c r="AR297" s="287"/>
      <c r="AS297" s="285"/>
      <c r="AT297" s="95"/>
      <c r="AU297" s="96"/>
      <c r="AV297" s="97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spans="1:67" s="27" customFormat="1" x14ac:dyDescent="0.25">
      <c r="A298" s="60" t="s">
        <v>347</v>
      </c>
      <c r="B298" s="65" t="s">
        <v>86</v>
      </c>
      <c r="C298" s="62">
        <v>2008</v>
      </c>
      <c r="D298" s="1">
        <f t="shared" si="100"/>
        <v>2</v>
      </c>
      <c r="E298" s="283"/>
      <c r="F298" s="278"/>
      <c r="G298" s="120"/>
      <c r="H298" s="13"/>
      <c r="I298" s="261"/>
      <c r="J298" s="246"/>
      <c r="K298" s="241"/>
      <c r="L298" s="228"/>
      <c r="M298" s="228"/>
      <c r="N298" s="267">
        <f t="shared" si="101"/>
        <v>2</v>
      </c>
      <c r="O298" s="120"/>
      <c r="P298" s="96">
        <f t="shared" si="102"/>
        <v>2</v>
      </c>
      <c r="Q298" s="97">
        <f t="shared" si="103"/>
        <v>2</v>
      </c>
      <c r="R298" s="228"/>
      <c r="S298" s="228"/>
      <c r="T298" s="228"/>
      <c r="U298" s="228"/>
      <c r="V298" s="228"/>
      <c r="W298" s="228"/>
      <c r="X298" s="228"/>
      <c r="Y298" s="228">
        <f t="shared" si="109"/>
        <v>6</v>
      </c>
      <c r="Z298" s="120"/>
      <c r="AA298" s="96">
        <f t="shared" si="108"/>
        <v>6</v>
      </c>
      <c r="AB298" s="97">
        <f t="shared" ref="AB298:AB303" si="111">IF(C298=2008, AA298/3,AA298)+Z298</f>
        <v>2</v>
      </c>
      <c r="AC298" s="22"/>
      <c r="AD298" s="228"/>
      <c r="AE298" s="228"/>
      <c r="AF298" s="228"/>
      <c r="AG298" s="228"/>
      <c r="AH298" s="228">
        <f>AV298</f>
        <v>6</v>
      </c>
      <c r="AI298" s="120"/>
      <c r="AJ298" s="96">
        <f t="shared" si="110"/>
        <v>6</v>
      </c>
      <c r="AK298" s="97">
        <f>IF(C298=2011, AJ298/3,AJ298)+AI298</f>
        <v>6</v>
      </c>
      <c r="AL298" s="22"/>
      <c r="AM298" s="13"/>
      <c r="AN298" s="13"/>
      <c r="AO298" s="13"/>
      <c r="AP298" s="13">
        <f>6</f>
        <v>6</v>
      </c>
      <c r="AQ298" s="13"/>
      <c r="AR298" s="13"/>
      <c r="AS298" s="13"/>
      <c r="AT298" s="95"/>
      <c r="AU298" s="96">
        <f>SUM(AM298:AS298)</f>
        <v>6</v>
      </c>
      <c r="AV298" s="97">
        <f>IF(C298=2010, AU298/3,AU298)+AT298</f>
        <v>6</v>
      </c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spans="1:67" s="17" customFormat="1" x14ac:dyDescent="0.25">
      <c r="A299" s="60" t="s">
        <v>386</v>
      </c>
      <c r="B299" s="65" t="s">
        <v>111</v>
      </c>
      <c r="C299" s="62">
        <v>2005</v>
      </c>
      <c r="D299" s="1">
        <f t="shared" si="100"/>
        <v>1</v>
      </c>
      <c r="E299" s="283"/>
      <c r="F299" s="278"/>
      <c r="G299" s="120"/>
      <c r="H299" s="13"/>
      <c r="I299" s="154"/>
      <c r="J299" s="154"/>
      <c r="K299" s="154"/>
      <c r="L299" s="154"/>
      <c r="M299" s="154"/>
      <c r="N299" s="267">
        <f t="shared" si="101"/>
        <v>1</v>
      </c>
      <c r="O299" s="122"/>
      <c r="P299" s="96">
        <f t="shared" si="102"/>
        <v>1</v>
      </c>
      <c r="Q299" s="97">
        <f t="shared" si="103"/>
        <v>1</v>
      </c>
      <c r="R299" s="154"/>
      <c r="S299" s="287"/>
      <c r="T299" s="287"/>
      <c r="U299" s="287"/>
      <c r="V299" s="287"/>
      <c r="W299" s="287"/>
      <c r="X299" s="287"/>
      <c r="Y299" s="287">
        <f t="shared" si="109"/>
        <v>1</v>
      </c>
      <c r="Z299" s="120"/>
      <c r="AA299" s="96">
        <f t="shared" si="108"/>
        <v>1</v>
      </c>
      <c r="AB299" s="97">
        <f t="shared" si="111"/>
        <v>1</v>
      </c>
      <c r="AC299" s="22"/>
      <c r="AD299" s="287"/>
      <c r="AE299" s="287"/>
      <c r="AF299" s="287"/>
      <c r="AG299" s="287"/>
      <c r="AH299" s="287">
        <f>AV299</f>
        <v>1</v>
      </c>
      <c r="AI299" s="120"/>
      <c r="AJ299" s="96">
        <f t="shared" si="110"/>
        <v>1</v>
      </c>
      <c r="AK299" s="97">
        <f>IF(C299=2007, AJ299/3,AJ299)+AI299</f>
        <v>1</v>
      </c>
      <c r="AL299" s="22"/>
      <c r="AM299" s="26"/>
      <c r="AN299" s="26"/>
      <c r="AO299" s="26"/>
      <c r="AP299" s="26">
        <f>1</f>
        <v>1</v>
      </c>
      <c r="AQ299" s="26"/>
      <c r="AR299" s="26"/>
      <c r="AS299" s="26"/>
      <c r="AT299" s="95"/>
      <c r="AU299" s="96">
        <f>SUM(AM299:AS299)</f>
        <v>1</v>
      </c>
      <c r="AV299" s="97">
        <f>IF(C299=2006, AU299/3,AU299)+AT299</f>
        <v>1</v>
      </c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spans="1:67" s="17" customFormat="1" x14ac:dyDescent="0.25">
      <c r="A300" s="60" t="s">
        <v>380</v>
      </c>
      <c r="B300" s="65" t="s">
        <v>378</v>
      </c>
      <c r="C300" s="62">
        <v>2008</v>
      </c>
      <c r="D300" s="1">
        <f t="shared" si="100"/>
        <v>5</v>
      </c>
      <c r="E300" s="283"/>
      <c r="F300" s="278"/>
      <c r="G300" s="120"/>
      <c r="H300" s="13"/>
      <c r="I300" s="261"/>
      <c r="J300" s="246"/>
      <c r="K300" s="246"/>
      <c r="L300" s="246"/>
      <c r="M300" s="246"/>
      <c r="N300" s="267">
        <f t="shared" si="101"/>
        <v>5</v>
      </c>
      <c r="O300" s="152"/>
      <c r="P300" s="96">
        <f t="shared" si="102"/>
        <v>5</v>
      </c>
      <c r="Q300" s="97">
        <f t="shared" si="103"/>
        <v>5</v>
      </c>
      <c r="R300" s="246"/>
      <c r="S300" s="246"/>
      <c r="T300" s="246"/>
      <c r="U300" s="246"/>
      <c r="V300" s="246"/>
      <c r="W300" s="246"/>
      <c r="X300" s="246"/>
      <c r="Y300" s="246">
        <f t="shared" si="109"/>
        <v>15</v>
      </c>
      <c r="Z300" s="120"/>
      <c r="AA300" s="96">
        <f t="shared" si="108"/>
        <v>15</v>
      </c>
      <c r="AB300" s="97">
        <f t="shared" si="111"/>
        <v>5</v>
      </c>
      <c r="AC300" s="22"/>
      <c r="AD300" s="246"/>
      <c r="AE300" s="246"/>
      <c r="AF300" s="246"/>
      <c r="AG300" s="246"/>
      <c r="AH300" s="246">
        <f>AV300</f>
        <v>15</v>
      </c>
      <c r="AI300" s="120"/>
      <c r="AJ300" s="96">
        <f t="shared" si="110"/>
        <v>15</v>
      </c>
      <c r="AK300" s="97">
        <f>IF(C300=2011, AJ300/3,AJ300)+AI300</f>
        <v>15</v>
      </c>
      <c r="AL300" s="22"/>
      <c r="AM300" s="13"/>
      <c r="AN300" s="13"/>
      <c r="AO300" s="13"/>
      <c r="AP300" s="13">
        <f>15</f>
        <v>15</v>
      </c>
      <c r="AQ300" s="13"/>
      <c r="AR300" s="13"/>
      <c r="AS300" s="13"/>
      <c r="AT300" s="95"/>
      <c r="AU300" s="96">
        <f>SUM(AM300:AS300)</f>
        <v>15</v>
      </c>
      <c r="AV300" s="97">
        <f>IF(C300=2010, AU300/3,AU300)+AT300</f>
        <v>15</v>
      </c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spans="1:67" s="3" customFormat="1" x14ac:dyDescent="0.25">
      <c r="A301" s="12" t="s">
        <v>389</v>
      </c>
      <c r="B301" s="12" t="s">
        <v>378</v>
      </c>
      <c r="C301" s="4">
        <v>2005</v>
      </c>
      <c r="D301" s="1">
        <f t="shared" si="100"/>
        <v>0</v>
      </c>
      <c r="E301" s="283"/>
      <c r="F301" s="278"/>
      <c r="G301" s="120"/>
      <c r="H301" s="13"/>
      <c r="I301" s="261"/>
      <c r="J301" s="246"/>
      <c r="K301" s="241"/>
      <c r="L301" s="228"/>
      <c r="M301" s="228"/>
      <c r="N301" s="267">
        <f t="shared" si="101"/>
        <v>0</v>
      </c>
      <c r="O301" s="152"/>
      <c r="P301" s="96">
        <f t="shared" si="102"/>
        <v>0</v>
      </c>
      <c r="Q301" s="97">
        <f t="shared" si="103"/>
        <v>0</v>
      </c>
      <c r="R301" s="228"/>
      <c r="S301" s="287"/>
      <c r="T301" s="287"/>
      <c r="U301" s="287"/>
      <c r="V301" s="287"/>
      <c r="W301" s="287"/>
      <c r="X301" s="287"/>
      <c r="Y301" s="287">
        <f t="shared" si="109"/>
        <v>0</v>
      </c>
      <c r="Z301" s="120"/>
      <c r="AA301" s="96">
        <f t="shared" si="108"/>
        <v>0</v>
      </c>
      <c r="AB301" s="97">
        <f t="shared" si="111"/>
        <v>0</v>
      </c>
      <c r="AC301" s="22"/>
      <c r="AD301" s="287"/>
      <c r="AE301" s="287"/>
      <c r="AF301" s="287"/>
      <c r="AG301" s="287"/>
      <c r="AH301" s="287">
        <f>AV301</f>
        <v>0</v>
      </c>
      <c r="AI301" s="120"/>
      <c r="AJ301" s="96">
        <f t="shared" si="110"/>
        <v>0</v>
      </c>
      <c r="AK301" s="97">
        <f>IF(C301=2007, AJ301/3,AJ301)+AI301</f>
        <v>0</v>
      </c>
      <c r="AL301" s="22"/>
      <c r="AM301" s="26"/>
      <c r="AN301" s="26"/>
      <c r="AO301" s="26"/>
      <c r="AP301" s="26">
        <f>0</f>
        <v>0</v>
      </c>
      <c r="AQ301" s="26"/>
      <c r="AR301" s="26"/>
      <c r="AS301" s="26"/>
      <c r="AT301" s="95"/>
      <c r="AU301" s="96">
        <f>SUM(AM301:AS301)</f>
        <v>0</v>
      </c>
      <c r="AV301" s="97">
        <f>IF(C301=2006, AU301/3,AU301)+AT301</f>
        <v>0</v>
      </c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</row>
    <row r="302" spans="1:67" s="3" customFormat="1" x14ac:dyDescent="0.25">
      <c r="A302" s="51" t="s">
        <v>20</v>
      </c>
      <c r="B302" s="84" t="s">
        <v>7</v>
      </c>
      <c r="C302" s="52">
        <v>2006</v>
      </c>
      <c r="D302" s="1">
        <f t="shared" si="100"/>
        <v>87.666666666666671</v>
      </c>
      <c r="E302" s="283"/>
      <c r="F302" s="278"/>
      <c r="G302" s="120"/>
      <c r="H302" s="13"/>
      <c r="I302" s="287"/>
      <c r="J302" s="287"/>
      <c r="K302" s="287"/>
      <c r="L302" s="287"/>
      <c r="M302" s="287"/>
      <c r="N302" s="267">
        <f t="shared" si="101"/>
        <v>87.666666666666671</v>
      </c>
      <c r="O302" s="152"/>
      <c r="P302" s="96">
        <f t="shared" si="102"/>
        <v>87.666666666666671</v>
      </c>
      <c r="Q302" s="97">
        <f t="shared" si="103"/>
        <v>87.666666666666671</v>
      </c>
      <c r="R302" s="287"/>
      <c r="S302" s="287"/>
      <c r="T302" s="287"/>
      <c r="U302" s="287"/>
      <c r="V302" s="287"/>
      <c r="W302" s="287"/>
      <c r="X302" s="287"/>
      <c r="Y302" s="287">
        <f t="shared" si="109"/>
        <v>87.666666666666671</v>
      </c>
      <c r="Z302" s="120"/>
      <c r="AA302" s="96">
        <f t="shared" si="108"/>
        <v>87.666666666666671</v>
      </c>
      <c r="AB302" s="97">
        <f t="shared" si="111"/>
        <v>87.666666666666671</v>
      </c>
      <c r="AC302" s="22"/>
      <c r="AD302" s="287"/>
      <c r="AE302" s="287"/>
      <c r="AF302" s="287"/>
      <c r="AG302" s="287"/>
      <c r="AH302" s="287">
        <f>AV302</f>
        <v>87.666666666666671</v>
      </c>
      <c r="AI302" s="120"/>
      <c r="AJ302" s="96">
        <f t="shared" si="110"/>
        <v>87.666666666666671</v>
      </c>
      <c r="AK302" s="97">
        <f>IF(C302=2007, AJ302/3,AJ302)+AI302</f>
        <v>87.666666666666671</v>
      </c>
      <c r="AL302" s="22"/>
      <c r="AM302" s="287">
        <f>3</f>
        <v>3</v>
      </c>
      <c r="AN302" s="287"/>
      <c r="AO302" s="287"/>
      <c r="AP302" s="287">
        <f>0</f>
        <v>0</v>
      </c>
      <c r="AQ302" s="287"/>
      <c r="AR302" s="287"/>
      <c r="AS302" s="287">
        <v>260</v>
      </c>
      <c r="AT302" s="95"/>
      <c r="AU302" s="96">
        <f>SUM(AM302:AS302)</f>
        <v>263</v>
      </c>
      <c r="AV302" s="97">
        <f>IF(C302=2006, AU302/3,AU302)+AT302</f>
        <v>87.666666666666671</v>
      </c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</row>
    <row r="303" spans="1:67" s="3" customFormat="1" x14ac:dyDescent="0.25">
      <c r="A303" s="60" t="s">
        <v>793</v>
      </c>
      <c r="B303" s="65" t="s">
        <v>794</v>
      </c>
      <c r="C303" s="62">
        <v>2006</v>
      </c>
      <c r="D303" s="1">
        <f t="shared" si="100"/>
        <v>6</v>
      </c>
      <c r="E303" s="283"/>
      <c r="F303" s="278"/>
      <c r="G303" s="120"/>
      <c r="H303" s="13"/>
      <c r="I303" s="261"/>
      <c r="J303" s="246"/>
      <c r="K303" s="241"/>
      <c r="L303" s="228"/>
      <c r="M303" s="228"/>
      <c r="N303" s="267">
        <f t="shared" si="101"/>
        <v>6</v>
      </c>
      <c r="O303" s="152"/>
      <c r="P303" s="96">
        <f t="shared" si="102"/>
        <v>6</v>
      </c>
      <c r="Q303" s="97">
        <f t="shared" si="103"/>
        <v>6</v>
      </c>
      <c r="R303" s="228"/>
      <c r="S303" s="267"/>
      <c r="T303" s="267"/>
      <c r="U303" s="267"/>
      <c r="V303" s="267"/>
      <c r="W303" s="267"/>
      <c r="X303" s="267">
        <f>0+6</f>
        <v>6</v>
      </c>
      <c r="Y303" s="267">
        <f t="shared" si="109"/>
        <v>0</v>
      </c>
      <c r="Z303" s="120"/>
      <c r="AA303" s="96">
        <f t="shared" si="108"/>
        <v>6</v>
      </c>
      <c r="AB303" s="97">
        <f t="shared" si="111"/>
        <v>6</v>
      </c>
      <c r="AC303" s="22"/>
      <c r="AD303" s="267"/>
      <c r="AE303" s="267"/>
      <c r="AF303" s="267"/>
      <c r="AG303" s="267"/>
      <c r="AH303" s="267"/>
      <c r="AI303" s="120"/>
      <c r="AJ303" s="96"/>
      <c r="AK303" s="97"/>
      <c r="AL303" s="22"/>
      <c r="AM303" s="26"/>
      <c r="AN303" s="26"/>
      <c r="AO303" s="26"/>
      <c r="AP303" s="26"/>
      <c r="AQ303" s="26"/>
      <c r="AR303" s="26"/>
      <c r="AS303" s="26"/>
      <c r="AT303" s="95"/>
      <c r="AU303" s="96"/>
      <c r="AV303" s="97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</row>
    <row r="304" spans="1:67" s="3" customFormat="1" x14ac:dyDescent="0.25">
      <c r="A304" s="51" t="s">
        <v>54</v>
      </c>
      <c r="B304" s="84" t="s">
        <v>23</v>
      </c>
      <c r="C304" s="52">
        <v>2009</v>
      </c>
      <c r="D304" s="1">
        <f t="shared" si="100"/>
        <v>32.333333333333336</v>
      </c>
      <c r="E304" s="283"/>
      <c r="F304" s="278"/>
      <c r="G304" s="120">
        <f>2+2</f>
        <v>4</v>
      </c>
      <c r="H304" s="13"/>
      <c r="I304" s="261"/>
      <c r="J304" s="246"/>
      <c r="K304" s="241"/>
      <c r="L304" s="228"/>
      <c r="M304" s="215"/>
      <c r="N304" s="267">
        <f t="shared" si="101"/>
        <v>97</v>
      </c>
      <c r="O304" s="120"/>
      <c r="P304" s="96">
        <f t="shared" si="102"/>
        <v>97</v>
      </c>
      <c r="Q304" s="97">
        <f t="shared" si="103"/>
        <v>32.333333333333336</v>
      </c>
      <c r="R304" s="215"/>
      <c r="S304" s="287"/>
      <c r="T304" s="287"/>
      <c r="U304" s="287"/>
      <c r="V304" s="287"/>
      <c r="W304" s="287"/>
      <c r="X304" s="287"/>
      <c r="Y304" s="287">
        <f t="shared" si="109"/>
        <v>97</v>
      </c>
      <c r="Z304" s="120"/>
      <c r="AA304" s="96">
        <f t="shared" si="108"/>
        <v>97</v>
      </c>
      <c r="AB304" s="97">
        <f>IF(C304=2012, AA304/3,AA304)+Z304</f>
        <v>97</v>
      </c>
      <c r="AC304" s="22"/>
      <c r="AD304" s="287"/>
      <c r="AE304" s="287"/>
      <c r="AF304" s="287"/>
      <c r="AG304" s="287"/>
      <c r="AH304" s="287">
        <f>AV304</f>
        <v>97</v>
      </c>
      <c r="AI304" s="120"/>
      <c r="AJ304" s="96">
        <f>SUM(AD304:AH304)</f>
        <v>97</v>
      </c>
      <c r="AK304" s="97">
        <f>IF(C304=2011, AJ304/3,AJ304)+AI304</f>
        <v>97</v>
      </c>
      <c r="AL304" s="22"/>
      <c r="AM304" s="287">
        <f>6+3</f>
        <v>9</v>
      </c>
      <c r="AN304" s="287"/>
      <c r="AO304" s="287"/>
      <c r="AP304" s="287"/>
      <c r="AQ304" s="287"/>
      <c r="AR304" s="287"/>
      <c r="AS304" s="287">
        <v>88</v>
      </c>
      <c r="AT304" s="95"/>
      <c r="AU304" s="96">
        <f>SUM(AM304:AS304)</f>
        <v>97</v>
      </c>
      <c r="AV304" s="97">
        <f>IF(C304=2010, AU304/3,AU304)+AT304</f>
        <v>97</v>
      </c>
    </row>
    <row r="305" spans="1:67" x14ac:dyDescent="0.25">
      <c r="A305" s="60" t="s">
        <v>198</v>
      </c>
      <c r="B305" s="65" t="s">
        <v>87</v>
      </c>
      <c r="C305" s="62">
        <v>2007</v>
      </c>
      <c r="D305" s="1">
        <f t="shared" si="100"/>
        <v>4</v>
      </c>
      <c r="K305" s="246"/>
      <c r="L305" s="246"/>
      <c r="M305" s="246"/>
      <c r="N305" s="267">
        <f t="shared" si="101"/>
        <v>4</v>
      </c>
      <c r="O305" s="120"/>
      <c r="P305" s="96">
        <f t="shared" si="102"/>
        <v>4</v>
      </c>
      <c r="Q305" s="97">
        <f t="shared" si="103"/>
        <v>4</v>
      </c>
      <c r="R305" s="246"/>
      <c r="S305" s="287"/>
      <c r="T305" s="287"/>
      <c r="U305" s="287"/>
      <c r="V305" s="287"/>
      <c r="W305" s="287"/>
      <c r="X305" s="287"/>
      <c r="Y305" s="287">
        <f t="shared" si="109"/>
        <v>4</v>
      </c>
      <c r="Z305" s="120"/>
      <c r="AA305" s="96">
        <f t="shared" si="108"/>
        <v>4</v>
      </c>
      <c r="AB305" s="97">
        <f>IF(C305=2008, AA305/3,AA305)+Z305</f>
        <v>4</v>
      </c>
      <c r="AC305" s="22"/>
      <c r="AD305" s="287"/>
      <c r="AE305" s="287"/>
      <c r="AF305" s="287"/>
      <c r="AG305" s="287"/>
      <c r="AH305" s="287">
        <f>AV305</f>
        <v>12</v>
      </c>
      <c r="AI305" s="120"/>
      <c r="AJ305" s="96">
        <f>SUM(AD305:AH305)</f>
        <v>12</v>
      </c>
      <c r="AK305" s="97">
        <f>IF(C305=2007, AJ305/3,AJ305)+AI305</f>
        <v>4</v>
      </c>
      <c r="AL305" s="22"/>
      <c r="AM305" s="13"/>
      <c r="AN305" s="13">
        <f>12</f>
        <v>12</v>
      </c>
      <c r="AO305" s="13"/>
      <c r="AP305" s="13"/>
      <c r="AQ305" s="13"/>
      <c r="AR305" s="13"/>
      <c r="AS305" s="13"/>
      <c r="AT305" s="95"/>
      <c r="AU305" s="96">
        <f>SUM(AM305:AS305)</f>
        <v>12</v>
      </c>
      <c r="AV305" s="97">
        <f>IF(C305=2010, AU305/3,AU305)+AT305</f>
        <v>12</v>
      </c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spans="1:67" x14ac:dyDescent="0.25">
      <c r="A306" s="60" t="s">
        <v>656</v>
      </c>
      <c r="B306" s="85" t="s">
        <v>23</v>
      </c>
      <c r="C306" s="62">
        <v>2008</v>
      </c>
      <c r="D306" s="1">
        <f t="shared" si="100"/>
        <v>133.66666666666666</v>
      </c>
      <c r="E306" s="108"/>
      <c r="F306" s="108"/>
      <c r="K306" s="246"/>
      <c r="L306" s="246"/>
      <c r="M306" s="246"/>
      <c r="N306" s="267">
        <f t="shared" si="101"/>
        <v>133.66666666666666</v>
      </c>
      <c r="O306" s="152"/>
      <c r="P306" s="96">
        <f t="shared" si="102"/>
        <v>133.66666666666666</v>
      </c>
      <c r="Q306" s="97">
        <f t="shared" si="103"/>
        <v>133.66666666666666</v>
      </c>
      <c r="R306" s="246"/>
      <c r="S306" s="267"/>
      <c r="T306" s="267"/>
      <c r="U306" s="267"/>
      <c r="V306" s="267"/>
      <c r="W306" s="267"/>
      <c r="X306" s="267"/>
      <c r="Y306" s="267">
        <f t="shared" si="109"/>
        <v>401</v>
      </c>
      <c r="Z306" s="120"/>
      <c r="AA306" s="96">
        <f t="shared" si="108"/>
        <v>401</v>
      </c>
      <c r="AB306" s="97">
        <f>IF(C306=2008, AA306/3,AA306)+Z306</f>
        <v>133.66666666666666</v>
      </c>
      <c r="AC306" s="22"/>
      <c r="AD306" s="267"/>
      <c r="AE306" s="267"/>
      <c r="AF306" s="267">
        <f>195+45</f>
        <v>240</v>
      </c>
      <c r="AG306" s="267"/>
      <c r="AH306" s="267">
        <v>161</v>
      </c>
      <c r="AI306" s="120"/>
      <c r="AJ306" s="96">
        <f>SUM(AD306:AH306)</f>
        <v>401</v>
      </c>
      <c r="AK306" s="97">
        <f>IF(C306=2011, AJ306/3,AJ306)+AI306</f>
        <v>401</v>
      </c>
      <c r="AL306" s="22"/>
      <c r="AM306" s="13"/>
      <c r="AN306" s="13"/>
      <c r="AO306" s="13"/>
      <c r="AP306" s="13"/>
      <c r="AQ306" s="13"/>
      <c r="AR306" s="13"/>
      <c r="AS306" s="13"/>
      <c r="AT306" s="95"/>
      <c r="AU306" s="96"/>
      <c r="AV306" s="97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spans="1:67" x14ac:dyDescent="0.25">
      <c r="A307" s="60" t="s">
        <v>789</v>
      </c>
      <c r="B307" s="65" t="s">
        <v>64</v>
      </c>
      <c r="C307" s="62">
        <v>2009</v>
      </c>
      <c r="D307" s="1">
        <f t="shared" si="100"/>
        <v>13</v>
      </c>
      <c r="E307" s="287"/>
      <c r="F307" s="287"/>
      <c r="I307" s="261">
        <f>3</f>
        <v>3</v>
      </c>
      <c r="K307" s="246"/>
      <c r="L307" s="246"/>
      <c r="M307" s="246"/>
      <c r="N307" s="267">
        <f t="shared" si="101"/>
        <v>36</v>
      </c>
      <c r="O307" s="120"/>
      <c r="P307" s="96">
        <f t="shared" si="102"/>
        <v>39</v>
      </c>
      <c r="Q307" s="97">
        <f t="shared" si="103"/>
        <v>13</v>
      </c>
      <c r="R307" s="246"/>
      <c r="S307" s="287"/>
      <c r="T307" s="287"/>
      <c r="U307" s="287"/>
      <c r="V307" s="287">
        <f>0+3</f>
        <v>3</v>
      </c>
      <c r="W307" s="287">
        <f>24+3</f>
        <v>27</v>
      </c>
      <c r="X307" s="287">
        <f>0</f>
        <v>0</v>
      </c>
      <c r="Y307" s="287">
        <f t="shared" si="109"/>
        <v>0</v>
      </c>
      <c r="Z307" s="120">
        <f>6</f>
        <v>6</v>
      </c>
      <c r="AA307" s="96">
        <f t="shared" si="108"/>
        <v>30</v>
      </c>
      <c r="AB307" s="97">
        <f>IF(C307=2012, AA307/3,AA307)+Z307</f>
        <v>36</v>
      </c>
      <c r="AC307" s="22"/>
      <c r="AD307" s="287"/>
      <c r="AE307" s="287"/>
      <c r="AF307" s="287"/>
      <c r="AG307" s="287"/>
      <c r="AH307" s="287"/>
      <c r="AI307" s="120"/>
      <c r="AJ307" s="96">
        <f>SUM(AD307:AH307)</f>
        <v>0</v>
      </c>
      <c r="AK307" s="97">
        <f>IF(C307=2011, AJ307/3,AJ307)+AI307</f>
        <v>0</v>
      </c>
      <c r="AL307" s="22"/>
      <c r="AM307" s="13"/>
      <c r="AN307" s="13"/>
      <c r="AO307" s="13"/>
      <c r="AP307" s="13"/>
      <c r="AQ307" s="13"/>
      <c r="AR307" s="13"/>
      <c r="AS307" s="13"/>
      <c r="AT307" s="95"/>
      <c r="AU307" s="96"/>
      <c r="AV307" s="97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spans="1:67" x14ac:dyDescent="0.25">
      <c r="A308" s="12" t="s">
        <v>373</v>
      </c>
      <c r="B308" s="12" t="s">
        <v>86</v>
      </c>
      <c r="C308" s="4">
        <v>2005</v>
      </c>
      <c r="D308" s="1">
        <f t="shared" si="100"/>
        <v>0</v>
      </c>
      <c r="E308" s="108"/>
      <c r="F308" s="108"/>
      <c r="I308" s="287"/>
      <c r="J308" s="287"/>
      <c r="K308" s="287"/>
      <c r="L308" s="287"/>
      <c r="M308" s="287"/>
      <c r="N308" s="267">
        <f t="shared" si="101"/>
        <v>0</v>
      </c>
      <c r="O308" s="120"/>
      <c r="P308" s="96">
        <f t="shared" si="102"/>
        <v>0</v>
      </c>
      <c r="Q308" s="97">
        <f t="shared" si="103"/>
        <v>0</v>
      </c>
      <c r="R308" s="287"/>
      <c r="S308" s="246"/>
      <c r="T308" s="246"/>
      <c r="U308" s="246"/>
      <c r="V308" s="246"/>
      <c r="W308" s="246"/>
      <c r="X308" s="246"/>
      <c r="Y308" s="246">
        <f t="shared" si="109"/>
        <v>0</v>
      </c>
      <c r="Z308" s="120"/>
      <c r="AA308" s="96">
        <f t="shared" si="108"/>
        <v>0</v>
      </c>
      <c r="AB308" s="97">
        <f>IF(C308=2008, AA308/3,AA308)+Z308</f>
        <v>0</v>
      </c>
      <c r="AC308" s="22"/>
      <c r="AD308" s="246"/>
      <c r="AE308" s="246"/>
      <c r="AF308" s="246"/>
      <c r="AG308" s="246"/>
      <c r="AH308" s="246">
        <f>AV308</f>
        <v>0</v>
      </c>
      <c r="AI308" s="120"/>
      <c r="AJ308" s="96">
        <f>SUM(AD308:AH308)</f>
        <v>0</v>
      </c>
      <c r="AK308" s="97">
        <f>IF(C308=2007, AJ308/3,AJ308)+AI308</f>
        <v>0</v>
      </c>
      <c r="AL308" s="22"/>
      <c r="AP308" s="26">
        <f>0</f>
        <v>0</v>
      </c>
      <c r="AT308" s="95"/>
      <c r="AU308" s="96">
        <f>SUM(AM308:AS308)</f>
        <v>0</v>
      </c>
      <c r="AV308" s="97">
        <f>IF(C308=2006, AU308/3,AU308)+AT308</f>
        <v>0</v>
      </c>
    </row>
    <row r="309" spans="1:67" x14ac:dyDescent="0.25">
      <c r="A309" s="11" t="s">
        <v>1352</v>
      </c>
      <c r="B309" s="60" t="s">
        <v>1336</v>
      </c>
      <c r="C309" s="62">
        <v>2009</v>
      </c>
      <c r="D309" s="1">
        <f t="shared" si="100"/>
        <v>26</v>
      </c>
      <c r="E309" s="283">
        <f>0</f>
        <v>0</v>
      </c>
      <c r="I309" s="261">
        <f>40</f>
        <v>40</v>
      </c>
      <c r="K309" s="246"/>
      <c r="L309" s="246">
        <f>23+15</f>
        <v>38</v>
      </c>
      <c r="M309" s="246"/>
      <c r="N309" s="267">
        <f t="shared" si="101"/>
        <v>0</v>
      </c>
      <c r="O309" s="120"/>
      <c r="P309" s="96">
        <f t="shared" si="102"/>
        <v>78</v>
      </c>
      <c r="Q309" s="97">
        <f t="shared" si="103"/>
        <v>26</v>
      </c>
      <c r="R309" s="246"/>
      <c r="S309" s="287"/>
      <c r="T309" s="287"/>
      <c r="U309" s="287"/>
      <c r="V309" s="287"/>
      <c r="W309" s="287"/>
      <c r="X309" s="287"/>
      <c r="Y309" s="287"/>
      <c r="Z309" s="152"/>
      <c r="AA309" s="96"/>
      <c r="AB309" s="97"/>
      <c r="AC309" s="13"/>
      <c r="AD309" s="13"/>
      <c r="AE309" s="287"/>
      <c r="AF309" s="287"/>
      <c r="AG309" s="287"/>
      <c r="AH309" s="287"/>
      <c r="AI309" s="120"/>
      <c r="AJ309" s="96"/>
      <c r="AK309" s="97"/>
      <c r="AL309" s="22"/>
      <c r="AM309" s="287"/>
      <c r="AN309" s="287"/>
      <c r="AO309" s="287"/>
      <c r="AP309" s="287"/>
      <c r="AQ309" s="287"/>
      <c r="AR309" s="287"/>
      <c r="AS309" s="285"/>
      <c r="AT309" s="95"/>
      <c r="AU309" s="96"/>
      <c r="AV309" s="97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spans="1:67" x14ac:dyDescent="0.25">
      <c r="A310" s="11" t="s">
        <v>777</v>
      </c>
      <c r="B310" s="87" t="s">
        <v>64</v>
      </c>
      <c r="C310" s="3">
        <v>2009</v>
      </c>
      <c r="D310" s="1">
        <f t="shared" si="100"/>
        <v>10.666666666666666</v>
      </c>
      <c r="E310" s="108"/>
      <c r="F310" s="108"/>
      <c r="I310" s="287"/>
      <c r="J310" s="287"/>
      <c r="K310" s="287"/>
      <c r="L310" s="287"/>
      <c r="M310" s="287"/>
      <c r="N310" s="267">
        <f t="shared" si="101"/>
        <v>32</v>
      </c>
      <c r="O310" s="120"/>
      <c r="P310" s="96">
        <f t="shared" si="102"/>
        <v>32</v>
      </c>
      <c r="Q310" s="97">
        <f t="shared" si="103"/>
        <v>10.666666666666666</v>
      </c>
      <c r="R310" s="287"/>
      <c r="S310" s="154"/>
      <c r="T310" s="154"/>
      <c r="U310" s="154"/>
      <c r="V310" s="154">
        <f>10+3+3</f>
        <v>16</v>
      </c>
      <c r="W310" s="154"/>
      <c r="X310" s="154">
        <f>16</f>
        <v>16</v>
      </c>
      <c r="Y310" s="246">
        <f>AK310</f>
        <v>0</v>
      </c>
      <c r="Z310" s="120"/>
      <c r="AA310" s="96">
        <f>S310+T310+U310+V310+W310+X310+Y310</f>
        <v>32</v>
      </c>
      <c r="AB310" s="97">
        <f>IF(C310=2012, AA310/3,AA310)+Z310</f>
        <v>32</v>
      </c>
      <c r="AC310" s="13"/>
      <c r="AD310" s="13"/>
      <c r="AE310" s="13"/>
      <c r="AF310" s="13"/>
      <c r="AG310" s="13"/>
      <c r="AH310" s="13"/>
      <c r="AI310" s="13"/>
      <c r="AJ310" s="96">
        <f>SUM(AD310:AH310)</f>
        <v>0</v>
      </c>
      <c r="AK310" s="97">
        <f>IF(C310=2011, AJ310/3,AJ310)+AI310</f>
        <v>0</v>
      </c>
      <c r="AL310" s="13"/>
      <c r="AM310" s="13"/>
      <c r="AN310" s="13"/>
      <c r="AO310" s="13"/>
      <c r="AP310" s="13"/>
      <c r="AQ310" s="13"/>
      <c r="AR310" s="13"/>
      <c r="AS310" s="1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spans="1:67" x14ac:dyDescent="0.25">
      <c r="A311" s="60" t="s">
        <v>286</v>
      </c>
      <c r="B311" s="65" t="s">
        <v>231</v>
      </c>
      <c r="C311" s="62">
        <v>2006</v>
      </c>
      <c r="D311" s="1">
        <f t="shared" si="100"/>
        <v>11.333333333333334</v>
      </c>
      <c r="E311" s="108"/>
      <c r="F311" s="108"/>
      <c r="I311" s="154">
        <f>0</f>
        <v>0</v>
      </c>
      <c r="J311" s="154"/>
      <c r="K311" s="154"/>
      <c r="L311" s="154"/>
      <c r="M311" s="154"/>
      <c r="N311" s="267">
        <f t="shared" si="101"/>
        <v>11.333333333333334</v>
      </c>
      <c r="O311" s="152"/>
      <c r="P311" s="96">
        <f t="shared" si="102"/>
        <v>11.333333333333334</v>
      </c>
      <c r="Q311" s="97">
        <f t="shared" si="103"/>
        <v>11.333333333333334</v>
      </c>
      <c r="R311" s="154"/>
      <c r="S311" s="287"/>
      <c r="T311" s="287"/>
      <c r="U311" s="287"/>
      <c r="V311" s="287"/>
      <c r="W311" s="287"/>
      <c r="X311" s="287"/>
      <c r="Y311" s="287">
        <f>AK311</f>
        <v>11.333333333333334</v>
      </c>
      <c r="Z311" s="120"/>
      <c r="AA311" s="96">
        <f>S311+T311+U311+V311+W311+X311+Y311</f>
        <v>11.333333333333334</v>
      </c>
      <c r="AB311" s="97">
        <f>IF(C311=2008, AA311/3,AA311)+Z311</f>
        <v>11.333333333333334</v>
      </c>
      <c r="AC311" s="22"/>
      <c r="AD311" s="287"/>
      <c r="AE311" s="287">
        <f>3</f>
        <v>3</v>
      </c>
      <c r="AF311" s="287"/>
      <c r="AG311" s="287"/>
      <c r="AH311" s="287">
        <f>AV311</f>
        <v>8.3333333333333339</v>
      </c>
      <c r="AI311" s="120"/>
      <c r="AJ311" s="96">
        <f>SUM(AD311:AH311)</f>
        <v>11.333333333333334</v>
      </c>
      <c r="AK311" s="97">
        <f>IF(C311=2007, AJ311/3,AJ311)+AI311</f>
        <v>11.333333333333334</v>
      </c>
      <c r="AL311" s="22"/>
      <c r="AM311" s="13"/>
      <c r="AN311" s="13"/>
      <c r="AO311" s="13">
        <f>3</f>
        <v>3</v>
      </c>
      <c r="AP311" s="13">
        <f>22</f>
        <v>22</v>
      </c>
      <c r="AQ311" s="13"/>
      <c r="AR311" s="13"/>
      <c r="AS311" s="13"/>
      <c r="AT311" s="95"/>
      <c r="AU311" s="96">
        <f>SUM(AM311:AS311)</f>
        <v>25</v>
      </c>
      <c r="AV311" s="97">
        <f>IF(C311=2006, AU311/3,AU311)+AT311</f>
        <v>8.3333333333333339</v>
      </c>
    </row>
    <row r="312" spans="1:67" x14ac:dyDescent="0.25">
      <c r="A312" s="12" t="s">
        <v>792</v>
      </c>
      <c r="B312" s="12" t="s">
        <v>629</v>
      </c>
      <c r="C312" s="4">
        <v>2007</v>
      </c>
      <c r="D312" s="1">
        <f t="shared" si="100"/>
        <v>8</v>
      </c>
      <c r="E312" s="108"/>
      <c r="F312" s="108"/>
      <c r="I312" s="267">
        <f>0</f>
        <v>0</v>
      </c>
      <c r="J312" s="267"/>
      <c r="K312" s="267"/>
      <c r="L312" s="267"/>
      <c r="M312" s="267"/>
      <c r="N312" s="267">
        <f t="shared" si="101"/>
        <v>8</v>
      </c>
      <c r="O312" s="152"/>
      <c r="P312" s="96">
        <f t="shared" si="102"/>
        <v>8</v>
      </c>
      <c r="Q312" s="97">
        <f t="shared" si="103"/>
        <v>8</v>
      </c>
      <c r="R312" s="267"/>
      <c r="W312" s="159">
        <f>0+2</f>
        <v>2</v>
      </c>
      <c r="X312" s="159">
        <f>6</f>
        <v>6</v>
      </c>
      <c r="Y312" s="267">
        <f>AK312</f>
        <v>0</v>
      </c>
      <c r="AA312" s="96">
        <f>S312+T312+U312+V312+W312+X312+Y312</f>
        <v>8</v>
      </c>
      <c r="AB312" s="97">
        <f>IF(C312=2008, AA312/3,AA312)+Z312</f>
        <v>8</v>
      </c>
    </row>
    <row r="313" spans="1:67" s="27" customFormat="1" x14ac:dyDescent="0.25">
      <c r="A313" s="328" t="s">
        <v>15</v>
      </c>
      <c r="B313" s="329"/>
      <c r="C313" s="330"/>
      <c r="D313" s="1"/>
      <c r="E313" s="283"/>
      <c r="F313" s="278"/>
      <c r="G313" s="120"/>
      <c r="H313" s="13"/>
      <c r="I313" s="261"/>
      <c r="J313" s="246"/>
      <c r="K313" s="241"/>
      <c r="L313" s="228"/>
      <c r="M313" s="215"/>
      <c r="N313" s="267">
        <f t="shared" ref="N313:N325" si="112">AB313</f>
        <v>0</v>
      </c>
      <c r="O313" s="120"/>
      <c r="P313" s="96">
        <f t="shared" ref="P313:P325" si="113">I313+J313+K313+L313+M313+N313</f>
        <v>0</v>
      </c>
      <c r="Q313" s="97">
        <f t="shared" ref="Q313:Q325" si="114">IF(C313=2009, P313/3,P313)+O313</f>
        <v>0</v>
      </c>
      <c r="R313" s="215"/>
      <c r="S313" s="201"/>
      <c r="T313" s="192"/>
      <c r="U313" s="183"/>
      <c r="V313" s="168"/>
      <c r="W313" s="50"/>
      <c r="X313" s="50"/>
      <c r="Y313" s="215">
        <f t="shared" ref="Y313" si="115">AK313</f>
        <v>0</v>
      </c>
      <c r="Z313" s="50"/>
      <c r="AA313" s="96">
        <f t="shared" ref="AA313:AA366" si="116">S313+T313+U313+V313+W313+X313+Y313</f>
        <v>0</v>
      </c>
      <c r="AB313" s="97">
        <f t="shared" ref="AB313" si="117">IF(C313=2008, AA313/3,AA313)+Z313</f>
        <v>0</v>
      </c>
      <c r="AC313" s="22"/>
      <c r="AD313" s="50"/>
      <c r="AE313" s="50"/>
      <c r="AF313" s="50"/>
      <c r="AG313" s="50"/>
      <c r="AH313" s="50"/>
      <c r="AI313" s="50"/>
      <c r="AJ313" s="68"/>
      <c r="AK313" s="97">
        <f t="shared" ref="AK313" si="118">IF(C313=2007, AJ313/3,AJ313)+AI313</f>
        <v>0</v>
      </c>
      <c r="AL313" s="22"/>
      <c r="AM313" s="113"/>
      <c r="AN313" s="113"/>
      <c r="AO313" s="113"/>
      <c r="AP313" s="113"/>
      <c r="AQ313" s="113"/>
      <c r="AR313" s="113"/>
      <c r="AS313" s="113"/>
      <c r="AT313" s="68"/>
      <c r="AU313" s="68"/>
      <c r="AV313" s="68"/>
    </row>
    <row r="314" spans="1:67" s="3" customFormat="1" x14ac:dyDescent="0.25">
      <c r="A314" s="11" t="s">
        <v>1395</v>
      </c>
      <c r="B314" s="60" t="s">
        <v>1336</v>
      </c>
      <c r="C314" s="62">
        <v>2008</v>
      </c>
      <c r="D314" s="1">
        <f t="shared" ref="D314:D325" si="119">Q314+F314+E314</f>
        <v>4</v>
      </c>
      <c r="E314" s="283"/>
      <c r="F314" s="278">
        <f>4</f>
        <v>4</v>
      </c>
      <c r="G314" s="120"/>
      <c r="H314" s="13"/>
      <c r="I314" s="278"/>
      <c r="J314" s="278"/>
      <c r="K314" s="278"/>
      <c r="L314" s="278"/>
      <c r="M314" s="278"/>
      <c r="N314" s="278"/>
      <c r="O314" s="120"/>
      <c r="P314" s="96"/>
      <c r="Q314" s="97"/>
      <c r="R314" s="278"/>
      <c r="S314" s="278"/>
      <c r="T314" s="278"/>
      <c r="U314" s="278"/>
      <c r="V314" s="278"/>
      <c r="W314" s="278"/>
      <c r="X314" s="278"/>
      <c r="Y314" s="278"/>
      <c r="Z314" s="152"/>
      <c r="AA314" s="96"/>
      <c r="AB314" s="97"/>
      <c r="AC314" s="280"/>
      <c r="AD314" s="280"/>
      <c r="AE314" s="278"/>
      <c r="AF314" s="278"/>
      <c r="AG314" s="278"/>
      <c r="AH314" s="278"/>
      <c r="AI314" s="120"/>
      <c r="AJ314" s="96"/>
      <c r="AK314" s="97"/>
      <c r="AL314" s="22"/>
      <c r="AM314" s="151"/>
      <c r="AN314" s="151"/>
      <c r="AO314" s="151"/>
      <c r="AP314" s="151"/>
      <c r="AQ314" s="151"/>
      <c r="AR314" s="151"/>
      <c r="AS314" s="13"/>
      <c r="AT314" s="95"/>
      <c r="AU314" s="96"/>
      <c r="AV314" s="97"/>
    </row>
    <row r="315" spans="1:67" s="3" customFormat="1" x14ac:dyDescent="0.25">
      <c r="A315" s="60" t="s">
        <v>1272</v>
      </c>
      <c r="B315" s="65" t="s">
        <v>834</v>
      </c>
      <c r="C315" s="62"/>
      <c r="D315" s="1">
        <f t="shared" si="119"/>
        <v>0</v>
      </c>
      <c r="E315" s="283"/>
      <c r="F315" s="278"/>
      <c r="G315" s="120"/>
      <c r="H315" s="13"/>
      <c r="I315" s="261">
        <f>0</f>
        <v>0</v>
      </c>
      <c r="J315" s="246">
        <f>0</f>
        <v>0</v>
      </c>
      <c r="K315" s="241"/>
      <c r="L315" s="228"/>
      <c r="M315" s="228"/>
      <c r="N315" s="267">
        <f t="shared" si="112"/>
        <v>0</v>
      </c>
      <c r="O315" s="120"/>
      <c r="P315" s="96">
        <f t="shared" si="113"/>
        <v>0</v>
      </c>
      <c r="Q315" s="97">
        <f t="shared" si="114"/>
        <v>0</v>
      </c>
      <c r="R315" s="228"/>
      <c r="S315" s="267"/>
      <c r="T315" s="267"/>
      <c r="U315" s="267"/>
      <c r="V315" s="267"/>
      <c r="W315" s="267"/>
      <c r="X315" s="267"/>
      <c r="Y315" s="267"/>
      <c r="Z315" s="120"/>
      <c r="AA315" s="96"/>
      <c r="AB315" s="97"/>
      <c r="AC315" s="22"/>
      <c r="AD315" s="267"/>
      <c r="AE315" s="267"/>
      <c r="AF315" s="267"/>
      <c r="AG315" s="267"/>
      <c r="AH315" s="267"/>
      <c r="AI315" s="120"/>
      <c r="AJ315" s="96"/>
      <c r="AK315" s="97"/>
      <c r="AL315" s="22"/>
      <c r="AM315" s="13"/>
      <c r="AN315" s="13"/>
      <c r="AO315" s="13"/>
      <c r="AP315" s="13"/>
      <c r="AQ315" s="13"/>
      <c r="AR315" s="13"/>
      <c r="AS315" s="13"/>
      <c r="AT315" s="95"/>
      <c r="AU315" s="96"/>
      <c r="AV315" s="9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</row>
    <row r="316" spans="1:67" s="17" customFormat="1" x14ac:dyDescent="0.25">
      <c r="A316" s="12" t="s">
        <v>1360</v>
      </c>
      <c r="B316" s="65" t="s">
        <v>1336</v>
      </c>
      <c r="C316" s="4">
        <v>2008</v>
      </c>
      <c r="D316" s="1">
        <f t="shared" si="119"/>
        <v>16</v>
      </c>
      <c r="E316" s="283">
        <f>12</f>
        <v>12</v>
      </c>
      <c r="F316" s="278">
        <f>2</f>
        <v>2</v>
      </c>
      <c r="G316" s="120"/>
      <c r="H316" s="13"/>
      <c r="I316" s="261">
        <f>2</f>
        <v>2</v>
      </c>
      <c r="J316" s="246"/>
      <c r="K316" s="241"/>
      <c r="L316" s="228"/>
      <c r="M316" s="228"/>
      <c r="N316" s="267">
        <f t="shared" si="112"/>
        <v>0</v>
      </c>
      <c r="O316" s="152"/>
      <c r="P316" s="96">
        <f t="shared" si="113"/>
        <v>2</v>
      </c>
      <c r="Q316" s="97">
        <f t="shared" si="114"/>
        <v>2</v>
      </c>
      <c r="R316" s="228"/>
      <c r="S316" s="159"/>
      <c r="T316" s="159"/>
      <c r="U316" s="159"/>
      <c r="V316" s="159"/>
      <c r="W316" s="159"/>
      <c r="X316" s="159"/>
      <c r="Y316" s="159"/>
      <c r="Z316" s="26"/>
      <c r="AA316" s="96"/>
      <c r="AB316" s="97"/>
      <c r="AC316" s="26"/>
      <c r="AD316" s="26"/>
      <c r="AE316" s="26"/>
      <c r="AF316" s="26"/>
      <c r="AG316" s="26"/>
      <c r="AH316" s="26"/>
      <c r="AI316" s="26"/>
      <c r="AJ316" s="4"/>
      <c r="AK316" s="4"/>
      <c r="AL316" s="26"/>
      <c r="AM316" s="26"/>
      <c r="AN316" s="26"/>
      <c r="AO316" s="26"/>
      <c r="AP316" s="26"/>
      <c r="AQ316" s="26"/>
      <c r="AR316" s="26"/>
      <c r="AS316" s="26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</row>
    <row r="317" spans="1:67" s="17" customFormat="1" x14ac:dyDescent="0.25">
      <c r="A317" s="12" t="s">
        <v>1147</v>
      </c>
      <c r="B317" s="65" t="s">
        <v>1327</v>
      </c>
      <c r="C317" s="4"/>
      <c r="D317" s="1">
        <f t="shared" si="119"/>
        <v>15</v>
      </c>
      <c r="E317" s="283"/>
      <c r="F317" s="278"/>
      <c r="G317" s="120"/>
      <c r="H317" s="13"/>
      <c r="I317" s="261">
        <f>15</f>
        <v>15</v>
      </c>
      <c r="J317" s="246"/>
      <c r="K317" s="241"/>
      <c r="L317" s="228"/>
      <c r="M317" s="215"/>
      <c r="N317" s="267">
        <f t="shared" si="112"/>
        <v>0</v>
      </c>
      <c r="O317" s="120"/>
      <c r="P317" s="96">
        <f t="shared" si="113"/>
        <v>15</v>
      </c>
      <c r="Q317" s="97">
        <f t="shared" si="114"/>
        <v>15</v>
      </c>
      <c r="R317" s="215"/>
      <c r="S317" s="159"/>
      <c r="T317" s="159"/>
      <c r="U317" s="159"/>
      <c r="V317" s="159"/>
      <c r="W317" s="159"/>
      <c r="X317" s="159"/>
      <c r="Y317" s="159"/>
      <c r="Z317" s="26"/>
      <c r="AA317" s="96"/>
      <c r="AB317" s="97"/>
      <c r="AC317" s="26"/>
      <c r="AD317" s="26"/>
      <c r="AE317" s="26"/>
      <c r="AF317" s="26"/>
      <c r="AG317" s="26"/>
      <c r="AH317" s="26"/>
      <c r="AI317" s="26"/>
      <c r="AJ317" s="4"/>
      <c r="AK317" s="4"/>
      <c r="AL317" s="26"/>
      <c r="AM317" s="26"/>
      <c r="AN317" s="26"/>
      <c r="AO317" s="26"/>
      <c r="AP317" s="26"/>
      <c r="AQ317" s="26"/>
      <c r="AR317" s="26"/>
      <c r="AS317" s="26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</row>
    <row r="318" spans="1:67" s="3" customFormat="1" x14ac:dyDescent="0.25">
      <c r="A318" s="12" t="s">
        <v>1282</v>
      </c>
      <c r="B318" s="12" t="s">
        <v>1281</v>
      </c>
      <c r="C318" s="4"/>
      <c r="D318" s="1">
        <f t="shared" si="119"/>
        <v>3</v>
      </c>
      <c r="E318" s="283"/>
      <c r="F318" s="278"/>
      <c r="G318" s="120"/>
      <c r="H318" s="13"/>
      <c r="I318" s="261"/>
      <c r="J318" s="246">
        <v>3</v>
      </c>
      <c r="K318" s="241"/>
      <c r="L318" s="228"/>
      <c r="M318" s="228"/>
      <c r="N318" s="267">
        <f t="shared" si="112"/>
        <v>0</v>
      </c>
      <c r="O318" s="152"/>
      <c r="P318" s="96">
        <f t="shared" si="113"/>
        <v>3</v>
      </c>
      <c r="Q318" s="97">
        <f t="shared" si="114"/>
        <v>3</v>
      </c>
      <c r="R318" s="228"/>
      <c r="S318" s="159"/>
      <c r="T318" s="159"/>
      <c r="U318" s="159"/>
      <c r="V318" s="159"/>
      <c r="W318" s="159"/>
      <c r="X318" s="159"/>
      <c r="Y318" s="159"/>
      <c r="Z318" s="26"/>
      <c r="AA318" s="96">
        <f>S318+T318+U318+V318+W318+X318+Y318</f>
        <v>0</v>
      </c>
      <c r="AB318" s="97">
        <f>IF(C318=2008, AA318/3,AA318)+Z318</f>
        <v>0</v>
      </c>
      <c r="AC318" s="26"/>
      <c r="AD318" s="26"/>
      <c r="AE318" s="26"/>
      <c r="AF318" s="26"/>
      <c r="AG318" s="26"/>
      <c r="AH318" s="26"/>
      <c r="AI318" s="26"/>
      <c r="AJ318" s="4"/>
      <c r="AK318" s="4"/>
      <c r="AL318" s="26"/>
      <c r="AM318" s="26"/>
      <c r="AN318" s="26"/>
      <c r="AO318" s="26"/>
      <c r="AP318" s="26"/>
      <c r="AQ318" s="26"/>
      <c r="AR318" s="26"/>
      <c r="AS318" s="26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</row>
    <row r="319" spans="1:67" s="3" customFormat="1" x14ac:dyDescent="0.25">
      <c r="A319" s="12" t="s">
        <v>1361</v>
      </c>
      <c r="B319" s="65" t="s">
        <v>1336</v>
      </c>
      <c r="C319" s="4"/>
      <c r="D319" s="1">
        <f t="shared" si="119"/>
        <v>0</v>
      </c>
      <c r="E319" s="108"/>
      <c r="F319" s="108"/>
      <c r="G319" s="120"/>
      <c r="H319" s="101"/>
      <c r="I319" s="154">
        <f>0</f>
        <v>0</v>
      </c>
      <c r="J319" s="154"/>
      <c r="K319" s="154"/>
      <c r="L319" s="154"/>
      <c r="M319" s="154"/>
      <c r="N319" s="267">
        <f t="shared" si="112"/>
        <v>0</v>
      </c>
      <c r="O319" s="122"/>
      <c r="P319" s="96">
        <f t="shared" si="113"/>
        <v>0</v>
      </c>
      <c r="Q319" s="97">
        <f t="shared" si="114"/>
        <v>0</v>
      </c>
      <c r="R319" s="154"/>
      <c r="S319" s="159"/>
      <c r="T319" s="159"/>
      <c r="U319" s="159"/>
      <c r="V319" s="159"/>
      <c r="W319" s="159"/>
      <c r="X319" s="159"/>
      <c r="Y319" s="159"/>
      <c r="Z319" s="26"/>
      <c r="AA319" s="96"/>
      <c r="AB319" s="97"/>
      <c r="AC319" s="26"/>
      <c r="AD319" s="26"/>
      <c r="AE319" s="26"/>
      <c r="AF319" s="26"/>
      <c r="AG319" s="26"/>
      <c r="AH319" s="26"/>
      <c r="AI319" s="26"/>
      <c r="AJ319" s="4"/>
      <c r="AK319" s="4"/>
      <c r="AL319" s="26"/>
      <c r="AM319" s="26"/>
      <c r="AN319" s="26"/>
      <c r="AO319" s="26"/>
      <c r="AP319" s="26"/>
      <c r="AQ319" s="26"/>
      <c r="AR319" s="26"/>
      <c r="AS319" s="26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</row>
    <row r="320" spans="1:67" x14ac:dyDescent="0.25">
      <c r="A320" s="12" t="s">
        <v>1359</v>
      </c>
      <c r="B320" s="12" t="s">
        <v>629</v>
      </c>
      <c r="C320" s="4">
        <v>2008</v>
      </c>
      <c r="D320" s="1">
        <f t="shared" si="119"/>
        <v>75</v>
      </c>
      <c r="E320" s="3">
        <f>45</f>
        <v>45</v>
      </c>
      <c r="F320" s="3"/>
      <c r="I320" s="154">
        <f>30</f>
        <v>30</v>
      </c>
      <c r="J320" s="154"/>
      <c r="K320" s="154"/>
      <c r="L320" s="154"/>
      <c r="M320" s="154"/>
      <c r="N320" s="267">
        <f t="shared" si="112"/>
        <v>0</v>
      </c>
      <c r="O320" s="122"/>
      <c r="P320" s="96">
        <f t="shared" si="113"/>
        <v>30</v>
      </c>
      <c r="Q320" s="97">
        <f t="shared" si="114"/>
        <v>30</v>
      </c>
      <c r="R320" s="154"/>
      <c r="AA320" s="96">
        <f>S320+T320+U320+V320+W320+X320+Y320</f>
        <v>0</v>
      </c>
      <c r="AB320" s="97">
        <f>IF(C320=2008, AA320/3,AA320)+Z320</f>
        <v>0</v>
      </c>
    </row>
    <row r="321" spans="1:45" x14ac:dyDescent="0.25">
      <c r="A321" s="12" t="s">
        <v>1271</v>
      </c>
      <c r="B321" s="65" t="s">
        <v>834</v>
      </c>
      <c r="D321" s="1">
        <f t="shared" si="119"/>
        <v>48</v>
      </c>
      <c r="I321" s="267">
        <f>21</f>
        <v>21</v>
      </c>
      <c r="J321" s="267">
        <f>27</f>
        <v>27</v>
      </c>
      <c r="K321" s="267"/>
      <c r="L321" s="267"/>
      <c r="M321" s="267"/>
      <c r="N321" s="267">
        <f t="shared" si="112"/>
        <v>0</v>
      </c>
      <c r="O321" s="152"/>
      <c r="P321" s="96">
        <f t="shared" si="113"/>
        <v>48</v>
      </c>
      <c r="Q321" s="97">
        <f t="shared" si="114"/>
        <v>48</v>
      </c>
      <c r="R321" s="267"/>
      <c r="AA321" s="96"/>
      <c r="AB321" s="97"/>
    </row>
    <row r="322" spans="1:45" s="3" customFormat="1" x14ac:dyDescent="0.25">
      <c r="A322" s="11" t="s">
        <v>1353</v>
      </c>
      <c r="B322" s="87" t="s">
        <v>1336</v>
      </c>
      <c r="C322" s="3">
        <v>2009</v>
      </c>
      <c r="D322" s="1">
        <f>Q322+E322</f>
        <v>34</v>
      </c>
      <c r="E322" s="283">
        <f>0</f>
        <v>0</v>
      </c>
      <c r="F322" s="278"/>
      <c r="G322" s="120"/>
      <c r="H322" s="13"/>
      <c r="I322" s="261">
        <f>34</f>
        <v>34</v>
      </c>
      <c r="J322" s="246"/>
      <c r="K322" s="241"/>
      <c r="L322" s="228"/>
      <c r="M322" s="215"/>
      <c r="N322" s="267">
        <f>AB322</f>
        <v>0</v>
      </c>
      <c r="O322" s="120"/>
      <c r="P322" s="96">
        <f>I322+J322+K322+L322+N322</f>
        <v>34</v>
      </c>
      <c r="Q322" s="97">
        <f>IF(C322=2013, P322/3,P322)+O322</f>
        <v>34</v>
      </c>
      <c r="R322" s="215"/>
      <c r="S322" s="154"/>
      <c r="T322" s="154"/>
      <c r="U322" s="154"/>
      <c r="V322" s="154"/>
      <c r="W322" s="154"/>
      <c r="X322" s="154"/>
      <c r="Y322" s="154"/>
      <c r="Z322" s="13"/>
      <c r="AC322" s="13"/>
      <c r="AD322" s="13"/>
      <c r="AE322" s="13"/>
      <c r="AF322" s="13"/>
      <c r="AG322" s="13"/>
      <c r="AH322" s="13"/>
      <c r="AI322" s="13"/>
      <c r="AL322" s="13"/>
      <c r="AM322" s="13"/>
      <c r="AN322" s="13"/>
      <c r="AO322" s="13"/>
      <c r="AP322" s="13"/>
      <c r="AQ322" s="13"/>
      <c r="AR322" s="13"/>
      <c r="AS322" s="13"/>
    </row>
    <row r="323" spans="1:45" x14ac:dyDescent="0.25">
      <c r="A323" s="12" t="s">
        <v>1280</v>
      </c>
      <c r="B323" s="12" t="s">
        <v>1281</v>
      </c>
      <c r="D323" s="1">
        <f t="shared" si="119"/>
        <v>3</v>
      </c>
      <c r="I323" s="154"/>
      <c r="J323" s="154">
        <v>3</v>
      </c>
      <c r="K323" s="154"/>
      <c r="L323" s="154"/>
      <c r="M323" s="154"/>
      <c r="N323" s="267">
        <f t="shared" si="112"/>
        <v>0</v>
      </c>
      <c r="O323" s="122"/>
      <c r="P323" s="96">
        <f t="shared" si="113"/>
        <v>3</v>
      </c>
      <c r="Q323" s="97">
        <f t="shared" si="114"/>
        <v>3</v>
      </c>
      <c r="R323" s="154"/>
      <c r="AA323" s="96">
        <f t="shared" ref="AA323:AA325" si="120">S323+T323+U323+V323+W323+X323+Y323</f>
        <v>0</v>
      </c>
      <c r="AB323" s="97">
        <f>IF('Juniors female'!C398=2008, AA323/3,AA323)+Z323</f>
        <v>0</v>
      </c>
    </row>
    <row r="324" spans="1:45" x14ac:dyDescent="0.25">
      <c r="A324" s="12" t="s">
        <v>1284</v>
      </c>
      <c r="B324" s="12" t="s">
        <v>1281</v>
      </c>
      <c r="D324" s="1">
        <f t="shared" si="119"/>
        <v>0</v>
      </c>
      <c r="J324" s="246">
        <v>0</v>
      </c>
      <c r="N324" s="267">
        <f t="shared" si="112"/>
        <v>0</v>
      </c>
      <c r="O324" s="120"/>
      <c r="P324" s="96">
        <f t="shared" si="113"/>
        <v>0</v>
      </c>
      <c r="Q324" s="97">
        <f t="shared" si="114"/>
        <v>0</v>
      </c>
      <c r="AA324" s="96">
        <f t="shared" si="120"/>
        <v>0</v>
      </c>
      <c r="AB324" s="97">
        <f>IF(C324=2008, AA324/3,AA324)+Z324</f>
        <v>0</v>
      </c>
    </row>
    <row r="325" spans="1:45" x14ac:dyDescent="0.25">
      <c r="A325" s="12" t="s">
        <v>1283</v>
      </c>
      <c r="B325" s="12" t="s">
        <v>1281</v>
      </c>
      <c r="D325" s="1">
        <f t="shared" si="119"/>
        <v>0</v>
      </c>
      <c r="I325" s="108"/>
      <c r="J325" s="108">
        <v>0</v>
      </c>
      <c r="K325" s="108"/>
      <c r="L325" s="108"/>
      <c r="M325" s="108"/>
      <c r="N325" s="267">
        <f t="shared" si="112"/>
        <v>0</v>
      </c>
      <c r="O325" s="122"/>
      <c r="P325" s="96">
        <f t="shared" si="113"/>
        <v>0</v>
      </c>
      <c r="Q325" s="97">
        <f t="shared" si="114"/>
        <v>0</v>
      </c>
      <c r="R325" s="108"/>
      <c r="AA325" s="96">
        <f t="shared" si="120"/>
        <v>0</v>
      </c>
      <c r="AB325" s="97">
        <f>IF(C325=2008, AA325/3,AA325)+Z325</f>
        <v>0</v>
      </c>
    </row>
    <row r="326" spans="1:45" x14ac:dyDescent="0.25">
      <c r="O326" s="120"/>
      <c r="P326" s="96"/>
      <c r="Q326" s="97"/>
      <c r="AA326" s="96">
        <f t="shared" si="116"/>
        <v>0</v>
      </c>
      <c r="AB326" s="97">
        <f t="shared" ref="AB326:AB339" si="121">IF(C326=2008, AA326/3,AA326)+Z326</f>
        <v>0</v>
      </c>
    </row>
    <row r="327" spans="1:45" x14ac:dyDescent="0.25">
      <c r="O327" s="152"/>
      <c r="P327" s="96"/>
      <c r="Q327" s="97"/>
      <c r="AA327" s="96">
        <f t="shared" si="116"/>
        <v>0</v>
      </c>
      <c r="AB327" s="97">
        <f t="shared" si="121"/>
        <v>0</v>
      </c>
    </row>
    <row r="328" spans="1:45" x14ac:dyDescent="0.25">
      <c r="O328" s="120"/>
      <c r="P328" s="96"/>
      <c r="Q328" s="97"/>
      <c r="AA328" s="96">
        <f t="shared" si="116"/>
        <v>0</v>
      </c>
      <c r="AB328" s="97">
        <f t="shared" si="121"/>
        <v>0</v>
      </c>
    </row>
    <row r="329" spans="1:45" x14ac:dyDescent="0.25">
      <c r="I329" s="154"/>
      <c r="J329" s="154"/>
      <c r="K329" s="154"/>
      <c r="L329" s="154"/>
      <c r="M329" s="154"/>
      <c r="N329" s="154"/>
      <c r="O329" s="122"/>
      <c r="P329" s="96"/>
      <c r="Q329" s="97"/>
      <c r="R329" s="154"/>
      <c r="AA329" s="96">
        <f t="shared" si="116"/>
        <v>0</v>
      </c>
      <c r="AB329" s="97">
        <f t="shared" si="121"/>
        <v>0</v>
      </c>
    </row>
    <row r="330" spans="1:45" x14ac:dyDescent="0.25">
      <c r="O330" s="152"/>
      <c r="P330" s="96"/>
      <c r="Q330" s="97"/>
      <c r="AA330" s="96">
        <f t="shared" si="116"/>
        <v>0</v>
      </c>
      <c r="AB330" s="97">
        <f t="shared" si="121"/>
        <v>0</v>
      </c>
    </row>
    <row r="331" spans="1:45" x14ac:dyDescent="0.25">
      <c r="O331" s="152"/>
      <c r="P331" s="96"/>
      <c r="Q331" s="97"/>
      <c r="AA331" s="96">
        <f t="shared" si="116"/>
        <v>0</v>
      </c>
      <c r="AB331" s="97">
        <f t="shared" si="121"/>
        <v>0</v>
      </c>
    </row>
    <row r="332" spans="1:45" x14ac:dyDescent="0.25">
      <c r="O332" s="120"/>
      <c r="P332" s="96"/>
      <c r="Q332" s="97"/>
      <c r="AA332" s="96">
        <f t="shared" si="116"/>
        <v>0</v>
      </c>
      <c r="AB332" s="97">
        <f t="shared" si="121"/>
        <v>0</v>
      </c>
    </row>
    <row r="333" spans="1:45" x14ac:dyDescent="0.25">
      <c r="O333" s="120"/>
      <c r="P333" s="96"/>
      <c r="Q333" s="97"/>
      <c r="AA333" s="96">
        <f t="shared" si="116"/>
        <v>0</v>
      </c>
      <c r="AB333" s="97">
        <f t="shared" si="121"/>
        <v>0</v>
      </c>
    </row>
    <row r="334" spans="1:45" x14ac:dyDescent="0.25">
      <c r="O334" s="120"/>
      <c r="P334" s="96"/>
      <c r="Q334" s="97"/>
      <c r="AA334" s="96">
        <f t="shared" si="116"/>
        <v>0</v>
      </c>
      <c r="AB334" s="97">
        <f t="shared" si="121"/>
        <v>0</v>
      </c>
    </row>
    <row r="335" spans="1:45" x14ac:dyDescent="0.25">
      <c r="O335" s="152"/>
      <c r="P335" s="96"/>
      <c r="Q335" s="97"/>
      <c r="AA335" s="96">
        <f t="shared" si="116"/>
        <v>0</v>
      </c>
      <c r="AB335" s="97">
        <f t="shared" si="121"/>
        <v>0</v>
      </c>
    </row>
    <row r="336" spans="1:45" x14ac:dyDescent="0.25">
      <c r="O336" s="120"/>
      <c r="P336" s="96"/>
      <c r="Q336" s="97"/>
      <c r="AA336" s="96">
        <f t="shared" si="116"/>
        <v>0</v>
      </c>
      <c r="AB336" s="97">
        <f t="shared" si="121"/>
        <v>0</v>
      </c>
    </row>
    <row r="337" spans="9:28" x14ac:dyDescent="0.25">
      <c r="I337" s="154"/>
      <c r="J337" s="154"/>
      <c r="K337" s="154"/>
      <c r="L337" s="154"/>
      <c r="M337" s="154"/>
      <c r="N337" s="154"/>
      <c r="O337" s="122"/>
      <c r="P337" s="96"/>
      <c r="Q337" s="97"/>
      <c r="R337" s="154"/>
      <c r="AA337" s="96">
        <f t="shared" si="116"/>
        <v>0</v>
      </c>
      <c r="AB337" s="97">
        <f t="shared" si="121"/>
        <v>0</v>
      </c>
    </row>
    <row r="338" spans="9:28" x14ac:dyDescent="0.25">
      <c r="I338" s="108"/>
      <c r="J338" s="108"/>
      <c r="K338" s="108"/>
      <c r="L338" s="108"/>
      <c r="M338" s="108"/>
      <c r="N338" s="108"/>
      <c r="O338" s="122"/>
      <c r="P338" s="96"/>
      <c r="Q338" s="97"/>
      <c r="R338" s="108"/>
      <c r="AA338" s="96">
        <f t="shared" si="116"/>
        <v>0</v>
      </c>
      <c r="AB338" s="97">
        <f t="shared" si="121"/>
        <v>0</v>
      </c>
    </row>
    <row r="339" spans="9:28" x14ac:dyDescent="0.25">
      <c r="O339" s="152"/>
      <c r="P339" s="96"/>
      <c r="Q339" s="97"/>
      <c r="AA339" s="96">
        <f t="shared" si="116"/>
        <v>0</v>
      </c>
      <c r="AB339" s="97">
        <f t="shared" si="121"/>
        <v>0</v>
      </c>
    </row>
    <row r="340" spans="9:28" x14ac:dyDescent="0.25">
      <c r="I340" s="154"/>
      <c r="J340" s="154"/>
      <c r="K340" s="154"/>
      <c r="L340" s="154"/>
      <c r="M340" s="154"/>
      <c r="N340" s="154"/>
      <c r="O340" s="122"/>
      <c r="P340" s="96"/>
      <c r="Q340" s="97"/>
      <c r="R340" s="154"/>
      <c r="AA340" s="96">
        <f t="shared" si="116"/>
        <v>0</v>
      </c>
      <c r="AB340" s="97">
        <f t="shared" ref="AB340:AB369" si="122">IF(C340=2012, AA340/3,AA340)+Z340</f>
        <v>0</v>
      </c>
    </row>
    <row r="341" spans="9:28" x14ac:dyDescent="0.25">
      <c r="O341" s="120"/>
      <c r="P341" s="96"/>
      <c r="Q341" s="97"/>
      <c r="AA341" s="96">
        <f t="shared" si="116"/>
        <v>0</v>
      </c>
      <c r="AB341" s="97">
        <f t="shared" si="122"/>
        <v>0</v>
      </c>
    </row>
    <row r="342" spans="9:28" x14ac:dyDescent="0.25">
      <c r="O342" s="120"/>
      <c r="P342" s="96"/>
      <c r="Q342" s="97"/>
      <c r="AA342" s="96">
        <f t="shared" si="116"/>
        <v>0</v>
      </c>
      <c r="AB342" s="97">
        <f t="shared" si="122"/>
        <v>0</v>
      </c>
    </row>
    <row r="343" spans="9:28" x14ac:dyDescent="0.25">
      <c r="O343" s="152"/>
      <c r="P343" s="96"/>
      <c r="Q343" s="97"/>
      <c r="AA343" s="96">
        <f t="shared" si="116"/>
        <v>0</v>
      </c>
      <c r="AB343" s="97">
        <f t="shared" si="122"/>
        <v>0</v>
      </c>
    </row>
    <row r="344" spans="9:28" x14ac:dyDescent="0.25">
      <c r="O344" s="120"/>
      <c r="P344" s="96"/>
      <c r="Q344" s="97"/>
      <c r="AA344" s="96">
        <f t="shared" si="116"/>
        <v>0</v>
      </c>
      <c r="AB344" s="97">
        <f t="shared" si="122"/>
        <v>0</v>
      </c>
    </row>
    <row r="345" spans="9:28" x14ac:dyDescent="0.25">
      <c r="O345" s="152"/>
      <c r="P345" s="96"/>
      <c r="Q345" s="97"/>
      <c r="AA345" s="96">
        <f t="shared" si="116"/>
        <v>0</v>
      </c>
      <c r="AB345" s="97">
        <f t="shared" si="122"/>
        <v>0</v>
      </c>
    </row>
    <row r="346" spans="9:28" x14ac:dyDescent="0.25">
      <c r="P346" s="96"/>
      <c r="Q346" s="97"/>
      <c r="AA346" s="96">
        <f t="shared" si="116"/>
        <v>0</v>
      </c>
      <c r="AB346" s="97">
        <f t="shared" si="122"/>
        <v>0</v>
      </c>
    </row>
    <row r="347" spans="9:28" x14ac:dyDescent="0.25">
      <c r="O347" s="152"/>
      <c r="P347" s="96"/>
      <c r="Q347" s="97"/>
      <c r="AA347" s="96">
        <f t="shared" si="116"/>
        <v>0</v>
      </c>
      <c r="AB347" s="97">
        <f t="shared" si="122"/>
        <v>0</v>
      </c>
    </row>
    <row r="348" spans="9:28" x14ac:dyDescent="0.25">
      <c r="O348" s="152"/>
      <c r="P348" s="96"/>
      <c r="Q348" s="97"/>
      <c r="AA348" s="96">
        <f t="shared" si="116"/>
        <v>0</v>
      </c>
      <c r="AB348" s="97">
        <f t="shared" si="122"/>
        <v>0</v>
      </c>
    </row>
    <row r="349" spans="9:28" x14ac:dyDescent="0.25">
      <c r="O349" s="152"/>
      <c r="P349" s="96"/>
      <c r="Q349" s="97"/>
      <c r="AA349" s="96">
        <f t="shared" si="116"/>
        <v>0</v>
      </c>
      <c r="AB349" s="97">
        <f t="shared" si="122"/>
        <v>0</v>
      </c>
    </row>
    <row r="350" spans="9:28" x14ac:dyDescent="0.25">
      <c r="O350" s="152"/>
      <c r="P350" s="96"/>
      <c r="Q350" s="97"/>
      <c r="AA350" s="96">
        <f t="shared" si="116"/>
        <v>0</v>
      </c>
      <c r="AB350" s="97">
        <f t="shared" si="122"/>
        <v>0</v>
      </c>
    </row>
    <row r="351" spans="9:28" x14ac:dyDescent="0.25">
      <c r="O351" s="152"/>
      <c r="P351" s="96"/>
      <c r="Q351" s="97"/>
      <c r="AA351" s="96">
        <f t="shared" si="116"/>
        <v>0</v>
      </c>
      <c r="AB351" s="97">
        <f t="shared" si="122"/>
        <v>0</v>
      </c>
    </row>
    <row r="352" spans="9:28" x14ac:dyDescent="0.25">
      <c r="O352" s="152"/>
      <c r="P352" s="96"/>
      <c r="Q352" s="97"/>
      <c r="AA352" s="96">
        <f t="shared" si="116"/>
        <v>0</v>
      </c>
      <c r="AB352" s="97">
        <f t="shared" si="122"/>
        <v>0</v>
      </c>
    </row>
    <row r="353" spans="9:28" x14ac:dyDescent="0.25">
      <c r="O353" s="152"/>
      <c r="P353" s="96"/>
      <c r="Q353" s="97"/>
      <c r="AA353" s="96">
        <f t="shared" si="116"/>
        <v>0</v>
      </c>
      <c r="AB353" s="97">
        <f t="shared" si="122"/>
        <v>0</v>
      </c>
    </row>
    <row r="354" spans="9:28" x14ac:dyDescent="0.25">
      <c r="O354" s="152"/>
      <c r="P354" s="96"/>
      <c r="Q354" s="97"/>
      <c r="AA354" s="96">
        <f t="shared" si="116"/>
        <v>0</v>
      </c>
      <c r="AB354" s="97">
        <f t="shared" si="122"/>
        <v>0</v>
      </c>
    </row>
    <row r="355" spans="9:28" x14ac:dyDescent="0.25">
      <c r="O355" s="152"/>
      <c r="P355" s="96"/>
      <c r="Q355" s="97"/>
      <c r="AA355" s="96">
        <f t="shared" si="116"/>
        <v>0</v>
      </c>
      <c r="AB355" s="97">
        <f t="shared" si="122"/>
        <v>0</v>
      </c>
    </row>
    <row r="356" spans="9:28" x14ac:dyDescent="0.25">
      <c r="O356" s="152"/>
      <c r="P356" s="96"/>
      <c r="Q356" s="97"/>
      <c r="AA356" s="96">
        <f t="shared" si="116"/>
        <v>0</v>
      </c>
      <c r="AB356" s="97">
        <f t="shared" si="122"/>
        <v>0</v>
      </c>
    </row>
    <row r="357" spans="9:28" x14ac:dyDescent="0.25">
      <c r="O357" s="152"/>
      <c r="P357" s="96"/>
      <c r="Q357" s="97"/>
      <c r="AA357" s="96">
        <f t="shared" si="116"/>
        <v>0</v>
      </c>
      <c r="AB357" s="97">
        <f t="shared" si="122"/>
        <v>0</v>
      </c>
    </row>
    <row r="358" spans="9:28" x14ac:dyDescent="0.25">
      <c r="O358" s="152"/>
      <c r="P358" s="96"/>
      <c r="Q358" s="97"/>
      <c r="AA358" s="96">
        <f t="shared" si="116"/>
        <v>0</v>
      </c>
      <c r="AB358" s="97">
        <f t="shared" si="122"/>
        <v>0</v>
      </c>
    </row>
    <row r="359" spans="9:28" x14ac:dyDescent="0.25">
      <c r="O359" s="152"/>
      <c r="P359" s="96"/>
      <c r="Q359" s="97"/>
      <c r="AA359" s="96">
        <f t="shared" si="116"/>
        <v>0</v>
      </c>
      <c r="AB359" s="97">
        <f t="shared" si="122"/>
        <v>0</v>
      </c>
    </row>
    <row r="360" spans="9:28" x14ac:dyDescent="0.25">
      <c r="O360" s="152"/>
      <c r="P360" s="96"/>
      <c r="Q360" s="97"/>
      <c r="AA360" s="96">
        <f t="shared" si="116"/>
        <v>0</v>
      </c>
      <c r="AB360" s="97">
        <f t="shared" si="122"/>
        <v>0</v>
      </c>
    </row>
    <row r="361" spans="9:28" x14ac:dyDescent="0.25">
      <c r="O361" s="152"/>
      <c r="P361" s="96"/>
      <c r="Q361" s="97"/>
      <c r="AA361" s="96">
        <f t="shared" si="116"/>
        <v>0</v>
      </c>
      <c r="AB361" s="97">
        <f t="shared" si="122"/>
        <v>0</v>
      </c>
    </row>
    <row r="362" spans="9:28" x14ac:dyDescent="0.25">
      <c r="O362" s="152"/>
      <c r="P362" s="96"/>
      <c r="Q362" s="97"/>
      <c r="AA362" s="96">
        <f t="shared" si="116"/>
        <v>0</v>
      </c>
      <c r="AB362" s="97">
        <f t="shared" si="122"/>
        <v>0</v>
      </c>
    </row>
    <row r="363" spans="9:28" x14ac:dyDescent="0.25">
      <c r="O363" s="152"/>
      <c r="P363" s="96"/>
      <c r="Q363" s="97"/>
      <c r="AA363" s="96">
        <f t="shared" si="116"/>
        <v>0</v>
      </c>
      <c r="AB363" s="97">
        <f t="shared" si="122"/>
        <v>0</v>
      </c>
    </row>
    <row r="364" spans="9:28" x14ac:dyDescent="0.25">
      <c r="O364" s="152"/>
      <c r="P364" s="96"/>
      <c r="Q364" s="97"/>
      <c r="AA364" s="96">
        <f t="shared" si="116"/>
        <v>0</v>
      </c>
      <c r="AB364" s="97">
        <f t="shared" si="122"/>
        <v>0</v>
      </c>
    </row>
    <row r="365" spans="9:28" x14ac:dyDescent="0.25">
      <c r="O365" s="120"/>
      <c r="P365" s="96"/>
      <c r="Q365" s="97"/>
      <c r="AA365" s="96">
        <f t="shared" si="116"/>
        <v>0</v>
      </c>
      <c r="AB365" s="97">
        <f t="shared" si="122"/>
        <v>0</v>
      </c>
    </row>
    <row r="366" spans="9:28" x14ac:dyDescent="0.25">
      <c r="I366" s="154"/>
      <c r="J366" s="154"/>
      <c r="K366" s="154"/>
      <c r="L366" s="154"/>
      <c r="M366" s="154"/>
      <c r="N366" s="154"/>
      <c r="O366" s="152"/>
      <c r="P366" s="96"/>
      <c r="Q366" s="97"/>
      <c r="R366" s="154"/>
      <c r="AA366" s="96">
        <f t="shared" si="116"/>
        <v>0</v>
      </c>
      <c r="AB366" s="97">
        <f t="shared" si="122"/>
        <v>0</v>
      </c>
    </row>
    <row r="367" spans="9:28" x14ac:dyDescent="0.25">
      <c r="I367" s="154"/>
      <c r="J367" s="154"/>
      <c r="K367" s="154"/>
      <c r="L367" s="154"/>
      <c r="M367" s="154"/>
      <c r="N367" s="154"/>
      <c r="O367" s="152"/>
      <c r="P367" s="96"/>
      <c r="Q367" s="97"/>
      <c r="R367" s="154"/>
      <c r="AA367" s="96">
        <f t="shared" ref="AA367:AA380" si="123">S367+T367+U367+V367+W367+X367+Y367</f>
        <v>0</v>
      </c>
      <c r="AB367" s="97">
        <f t="shared" si="122"/>
        <v>0</v>
      </c>
    </row>
    <row r="368" spans="9:28" x14ac:dyDescent="0.25">
      <c r="I368" s="154"/>
      <c r="J368" s="154"/>
      <c r="K368" s="154"/>
      <c r="L368" s="154"/>
      <c r="M368" s="154"/>
      <c r="N368" s="154"/>
      <c r="O368" s="152"/>
      <c r="P368" s="96"/>
      <c r="Q368" s="97"/>
      <c r="R368" s="154"/>
      <c r="AA368" s="96">
        <f t="shared" si="123"/>
        <v>0</v>
      </c>
      <c r="AB368" s="97">
        <f t="shared" si="122"/>
        <v>0</v>
      </c>
    </row>
    <row r="369" spans="9:28" x14ac:dyDescent="0.25">
      <c r="I369" s="154"/>
      <c r="J369" s="154"/>
      <c r="K369" s="154"/>
      <c r="L369" s="154"/>
      <c r="M369" s="154"/>
      <c r="N369" s="154"/>
      <c r="O369" s="152"/>
      <c r="P369" s="96"/>
      <c r="Q369" s="97"/>
      <c r="R369" s="154"/>
      <c r="AA369" s="96">
        <f t="shared" si="123"/>
        <v>0</v>
      </c>
      <c r="AB369" s="97">
        <f t="shared" si="122"/>
        <v>0</v>
      </c>
    </row>
    <row r="370" spans="9:28" x14ac:dyDescent="0.25">
      <c r="I370" s="154"/>
      <c r="J370" s="154"/>
      <c r="K370" s="154"/>
      <c r="L370" s="154"/>
      <c r="M370" s="154"/>
      <c r="N370" s="154"/>
      <c r="O370" s="152"/>
      <c r="P370" s="96"/>
      <c r="Q370" s="97"/>
      <c r="R370" s="154"/>
      <c r="AA370" s="96">
        <f t="shared" si="123"/>
        <v>0</v>
      </c>
      <c r="AB370" s="97">
        <f t="shared" ref="AB370:AB433" si="124">IF(C370=2012, AA370/3,AA370)+Z370</f>
        <v>0</v>
      </c>
    </row>
    <row r="371" spans="9:28" x14ac:dyDescent="0.25">
      <c r="I371" s="154"/>
      <c r="J371" s="154"/>
      <c r="K371" s="154"/>
      <c r="L371" s="154"/>
      <c r="M371" s="154"/>
      <c r="N371" s="154"/>
      <c r="O371" s="152"/>
      <c r="P371" s="96"/>
      <c r="Q371" s="97"/>
      <c r="R371" s="154"/>
      <c r="AA371" s="96">
        <f t="shared" si="123"/>
        <v>0</v>
      </c>
      <c r="AB371" s="97">
        <f t="shared" si="124"/>
        <v>0</v>
      </c>
    </row>
    <row r="372" spans="9:28" x14ac:dyDescent="0.25">
      <c r="I372" s="154"/>
      <c r="J372" s="154"/>
      <c r="K372" s="154"/>
      <c r="L372" s="154"/>
      <c r="M372" s="154"/>
      <c r="N372" s="154"/>
      <c r="O372" s="152"/>
      <c r="P372" s="96"/>
      <c r="Q372" s="97"/>
      <c r="R372" s="154"/>
      <c r="AA372" s="96">
        <f t="shared" si="123"/>
        <v>0</v>
      </c>
      <c r="AB372" s="97">
        <f t="shared" si="124"/>
        <v>0</v>
      </c>
    </row>
    <row r="373" spans="9:28" x14ac:dyDescent="0.25">
      <c r="I373" s="154"/>
      <c r="J373" s="154"/>
      <c r="K373" s="154"/>
      <c r="L373" s="154"/>
      <c r="M373" s="154"/>
      <c r="N373" s="154"/>
      <c r="O373" s="152"/>
      <c r="P373" s="96"/>
      <c r="Q373" s="97"/>
      <c r="R373" s="154"/>
      <c r="AA373" s="96">
        <f t="shared" si="123"/>
        <v>0</v>
      </c>
      <c r="AB373" s="97">
        <f t="shared" si="124"/>
        <v>0</v>
      </c>
    </row>
    <row r="374" spans="9:28" x14ac:dyDescent="0.25">
      <c r="I374" s="154"/>
      <c r="J374" s="154"/>
      <c r="K374" s="154"/>
      <c r="L374" s="154"/>
      <c r="M374" s="154"/>
      <c r="N374" s="154"/>
      <c r="O374" s="152"/>
      <c r="P374" s="96"/>
      <c r="Q374" s="97"/>
      <c r="R374" s="154"/>
      <c r="AA374" s="96">
        <f t="shared" si="123"/>
        <v>0</v>
      </c>
      <c r="AB374" s="97">
        <f t="shared" si="124"/>
        <v>0</v>
      </c>
    </row>
    <row r="375" spans="9:28" x14ac:dyDescent="0.25">
      <c r="O375" s="152"/>
      <c r="P375" s="96"/>
      <c r="Q375" s="97"/>
      <c r="AA375" s="96">
        <f t="shared" si="123"/>
        <v>0</v>
      </c>
      <c r="AB375" s="97">
        <f t="shared" si="124"/>
        <v>0</v>
      </c>
    </row>
    <row r="376" spans="9:28" x14ac:dyDescent="0.25">
      <c r="O376" s="152"/>
      <c r="P376" s="96"/>
      <c r="Q376" s="97"/>
      <c r="AA376" s="96">
        <f t="shared" si="123"/>
        <v>0</v>
      </c>
      <c r="AB376" s="97">
        <f t="shared" si="124"/>
        <v>0</v>
      </c>
    </row>
    <row r="377" spans="9:28" x14ac:dyDescent="0.25">
      <c r="O377" s="152"/>
      <c r="P377" s="96"/>
      <c r="Q377" s="97"/>
      <c r="AA377" s="96">
        <f t="shared" si="123"/>
        <v>0</v>
      </c>
      <c r="AB377" s="97">
        <f t="shared" si="124"/>
        <v>0</v>
      </c>
    </row>
    <row r="378" spans="9:28" x14ac:dyDescent="0.25">
      <c r="I378" s="108"/>
      <c r="J378" s="108"/>
      <c r="K378" s="108"/>
      <c r="L378" s="108"/>
      <c r="M378" s="108"/>
      <c r="N378" s="108"/>
      <c r="O378" s="122"/>
      <c r="P378" s="96"/>
      <c r="Q378" s="97"/>
      <c r="R378" s="108"/>
      <c r="AA378" s="96">
        <f t="shared" si="123"/>
        <v>0</v>
      </c>
      <c r="AB378" s="97">
        <f t="shared" si="124"/>
        <v>0</v>
      </c>
    </row>
    <row r="379" spans="9:28" x14ac:dyDescent="0.25">
      <c r="O379" s="152"/>
      <c r="P379" s="96"/>
      <c r="Q379" s="97"/>
      <c r="AA379" s="96">
        <f t="shared" si="123"/>
        <v>0</v>
      </c>
      <c r="AB379" s="97">
        <f t="shared" si="124"/>
        <v>0</v>
      </c>
    </row>
    <row r="380" spans="9:28" x14ac:dyDescent="0.25">
      <c r="O380" s="152"/>
      <c r="P380" s="96"/>
      <c r="Q380" s="97"/>
      <c r="AA380" s="96">
        <f t="shared" si="123"/>
        <v>0</v>
      </c>
      <c r="AB380" s="97">
        <f t="shared" si="124"/>
        <v>0</v>
      </c>
    </row>
    <row r="381" spans="9:28" x14ac:dyDescent="0.25">
      <c r="I381" s="108"/>
      <c r="J381" s="108"/>
      <c r="K381" s="108"/>
      <c r="L381" s="108"/>
      <c r="M381" s="108"/>
      <c r="N381" s="108"/>
      <c r="O381" s="122"/>
      <c r="P381" s="96"/>
      <c r="Q381" s="97"/>
      <c r="R381" s="108"/>
      <c r="AA381" s="96">
        <f t="shared" ref="AA381:AA433" si="125">D381</f>
        <v>0</v>
      </c>
      <c r="AB381" s="97">
        <f t="shared" si="124"/>
        <v>0</v>
      </c>
    </row>
    <row r="382" spans="9:28" x14ac:dyDescent="0.25">
      <c r="O382" s="152"/>
      <c r="P382" s="96"/>
      <c r="Q382" s="97"/>
      <c r="AA382" s="96">
        <f t="shared" si="125"/>
        <v>0</v>
      </c>
      <c r="AB382" s="97">
        <f t="shared" si="124"/>
        <v>0</v>
      </c>
    </row>
    <row r="383" spans="9:28" x14ac:dyDescent="0.25">
      <c r="O383" s="152"/>
      <c r="P383" s="96"/>
      <c r="Q383" s="97"/>
      <c r="AA383" s="96">
        <f t="shared" si="125"/>
        <v>0</v>
      </c>
      <c r="AB383" s="97">
        <f t="shared" si="124"/>
        <v>0</v>
      </c>
    </row>
    <row r="384" spans="9:28" x14ac:dyDescent="0.25">
      <c r="P384" s="96"/>
      <c r="Q384" s="97"/>
      <c r="AA384" s="96">
        <f t="shared" si="125"/>
        <v>0</v>
      </c>
      <c r="AB384" s="97">
        <f t="shared" si="124"/>
        <v>0</v>
      </c>
    </row>
    <row r="385" spans="9:28" x14ac:dyDescent="0.25">
      <c r="O385" s="152"/>
      <c r="P385" s="96"/>
      <c r="Q385" s="97"/>
      <c r="AA385" s="96">
        <f t="shared" si="125"/>
        <v>0</v>
      </c>
      <c r="AB385" s="97">
        <f t="shared" si="124"/>
        <v>0</v>
      </c>
    </row>
    <row r="386" spans="9:28" x14ac:dyDescent="0.25">
      <c r="O386" s="152"/>
      <c r="P386" s="96"/>
      <c r="Q386" s="97"/>
      <c r="AA386" s="96">
        <f t="shared" si="125"/>
        <v>0</v>
      </c>
      <c r="AB386" s="97">
        <f t="shared" si="124"/>
        <v>0</v>
      </c>
    </row>
    <row r="387" spans="9:28" x14ac:dyDescent="0.25">
      <c r="O387" s="152"/>
      <c r="P387" s="96"/>
      <c r="Q387" s="97"/>
      <c r="AA387" s="96">
        <f t="shared" si="125"/>
        <v>0</v>
      </c>
      <c r="AB387" s="97">
        <f t="shared" si="124"/>
        <v>0</v>
      </c>
    </row>
    <row r="388" spans="9:28" x14ac:dyDescent="0.25">
      <c r="O388" s="152"/>
      <c r="P388" s="96"/>
      <c r="Q388" s="97"/>
      <c r="AA388" s="96">
        <f t="shared" si="125"/>
        <v>0</v>
      </c>
      <c r="AB388" s="97">
        <f t="shared" si="124"/>
        <v>0</v>
      </c>
    </row>
    <row r="389" spans="9:28" x14ac:dyDescent="0.25">
      <c r="O389" s="152"/>
      <c r="P389" s="96"/>
      <c r="Q389" s="97"/>
      <c r="AA389" s="96">
        <f t="shared" si="125"/>
        <v>0</v>
      </c>
      <c r="AB389" s="97">
        <f t="shared" si="124"/>
        <v>0</v>
      </c>
    </row>
    <row r="390" spans="9:28" x14ac:dyDescent="0.25">
      <c r="O390" s="152"/>
      <c r="P390" s="96"/>
      <c r="Q390" s="97"/>
      <c r="AA390" s="96">
        <f t="shared" si="125"/>
        <v>0</v>
      </c>
      <c r="AB390" s="97">
        <f t="shared" si="124"/>
        <v>0</v>
      </c>
    </row>
    <row r="391" spans="9:28" x14ac:dyDescent="0.25">
      <c r="O391" s="152"/>
      <c r="P391" s="96"/>
      <c r="Q391" s="97"/>
      <c r="AA391" s="96">
        <f t="shared" si="125"/>
        <v>0</v>
      </c>
      <c r="AB391" s="97">
        <f t="shared" si="124"/>
        <v>0</v>
      </c>
    </row>
    <row r="392" spans="9:28" x14ac:dyDescent="0.25">
      <c r="I392" s="108"/>
      <c r="J392" s="108"/>
      <c r="K392" s="108"/>
      <c r="L392" s="108"/>
      <c r="M392" s="108"/>
      <c r="N392" s="108"/>
      <c r="O392" s="101"/>
      <c r="P392" s="96"/>
      <c r="Q392" s="97"/>
      <c r="R392" s="108"/>
      <c r="AA392" s="96">
        <f t="shared" si="125"/>
        <v>0</v>
      </c>
      <c r="AB392" s="97">
        <f t="shared" si="124"/>
        <v>0</v>
      </c>
    </row>
    <row r="393" spans="9:28" x14ac:dyDescent="0.25">
      <c r="I393" s="108"/>
      <c r="J393" s="108"/>
      <c r="K393" s="108"/>
      <c r="L393" s="108"/>
      <c r="M393" s="108"/>
      <c r="N393" s="108"/>
      <c r="O393" s="101"/>
      <c r="P393" s="96"/>
      <c r="Q393" s="97"/>
      <c r="R393" s="108"/>
      <c r="AA393" s="96">
        <f t="shared" si="125"/>
        <v>0</v>
      </c>
      <c r="AB393" s="97">
        <f t="shared" si="124"/>
        <v>0</v>
      </c>
    </row>
    <row r="394" spans="9:28" x14ac:dyDescent="0.25">
      <c r="O394" s="152"/>
      <c r="P394" s="96"/>
      <c r="Q394" s="97"/>
      <c r="AA394" s="96">
        <f t="shared" si="125"/>
        <v>0</v>
      </c>
      <c r="AB394" s="97">
        <f t="shared" si="124"/>
        <v>0</v>
      </c>
    </row>
    <row r="395" spans="9:28" x14ac:dyDescent="0.25">
      <c r="O395" s="152"/>
      <c r="P395" s="96"/>
      <c r="Q395" s="97"/>
      <c r="AA395" s="96">
        <f t="shared" si="125"/>
        <v>0</v>
      </c>
      <c r="AB395" s="97">
        <f t="shared" si="124"/>
        <v>0</v>
      </c>
    </row>
    <row r="396" spans="9:28" x14ac:dyDescent="0.25">
      <c r="I396" s="108"/>
      <c r="J396" s="108"/>
      <c r="K396" s="108"/>
      <c r="L396" s="108"/>
      <c r="M396" s="108"/>
      <c r="N396" s="108"/>
      <c r="O396" s="122"/>
      <c r="P396" s="96"/>
      <c r="Q396" s="97"/>
      <c r="R396" s="108"/>
      <c r="AA396" s="96">
        <f t="shared" si="125"/>
        <v>0</v>
      </c>
      <c r="AB396" s="97">
        <f t="shared" si="124"/>
        <v>0</v>
      </c>
    </row>
    <row r="397" spans="9:28" x14ac:dyDescent="0.25">
      <c r="O397" s="152"/>
      <c r="P397" s="96"/>
      <c r="Q397" s="97"/>
      <c r="AA397" s="96">
        <f t="shared" si="125"/>
        <v>0</v>
      </c>
      <c r="AB397" s="97">
        <f t="shared" si="124"/>
        <v>0</v>
      </c>
    </row>
    <row r="398" spans="9:28" x14ac:dyDescent="0.25">
      <c r="I398" s="108"/>
      <c r="J398" s="108"/>
      <c r="K398" s="108"/>
      <c r="L398" s="108"/>
      <c r="M398" s="108"/>
      <c r="N398" s="108"/>
      <c r="O398" s="122"/>
      <c r="P398" s="96"/>
      <c r="Q398" s="97"/>
      <c r="R398" s="108"/>
      <c r="AA398" s="96">
        <f t="shared" si="125"/>
        <v>0</v>
      </c>
      <c r="AB398" s="97">
        <f t="shared" si="124"/>
        <v>0</v>
      </c>
    </row>
    <row r="399" spans="9:28" x14ac:dyDescent="0.25">
      <c r="O399" s="152"/>
      <c r="P399" s="96"/>
      <c r="Q399" s="97"/>
      <c r="AA399" s="96">
        <f t="shared" si="125"/>
        <v>0</v>
      </c>
      <c r="AB399" s="97">
        <f t="shared" si="124"/>
        <v>0</v>
      </c>
    </row>
    <row r="400" spans="9:28" x14ac:dyDescent="0.25">
      <c r="I400" s="154"/>
      <c r="J400" s="154"/>
      <c r="K400" s="154"/>
      <c r="L400" s="154"/>
      <c r="M400" s="154"/>
      <c r="N400" s="154"/>
      <c r="O400" s="152"/>
      <c r="P400" s="96"/>
      <c r="Q400" s="97"/>
      <c r="R400" s="154"/>
      <c r="AA400" s="96">
        <f t="shared" si="125"/>
        <v>0</v>
      </c>
      <c r="AB400" s="97">
        <f t="shared" si="124"/>
        <v>0</v>
      </c>
    </row>
    <row r="401" spans="9:28" x14ac:dyDescent="0.25">
      <c r="I401" s="154"/>
      <c r="J401" s="154"/>
      <c r="K401" s="154"/>
      <c r="L401" s="154"/>
      <c r="M401" s="154"/>
      <c r="N401" s="154"/>
      <c r="O401" s="152"/>
      <c r="P401" s="96"/>
      <c r="Q401" s="97"/>
      <c r="R401" s="154"/>
      <c r="AA401" s="96">
        <f t="shared" si="125"/>
        <v>0</v>
      </c>
      <c r="AB401" s="97">
        <f t="shared" si="124"/>
        <v>0</v>
      </c>
    </row>
    <row r="402" spans="9:28" x14ac:dyDescent="0.25">
      <c r="O402" s="152"/>
      <c r="P402" s="96"/>
      <c r="Q402" s="97"/>
      <c r="AA402" s="96">
        <f t="shared" si="125"/>
        <v>0</v>
      </c>
      <c r="AB402" s="97">
        <f t="shared" si="124"/>
        <v>0</v>
      </c>
    </row>
    <row r="403" spans="9:28" x14ac:dyDescent="0.25">
      <c r="O403" s="152"/>
      <c r="P403" s="96"/>
      <c r="Q403" s="97"/>
      <c r="AA403" s="96">
        <f t="shared" si="125"/>
        <v>0</v>
      </c>
      <c r="AB403" s="97">
        <f t="shared" si="124"/>
        <v>0</v>
      </c>
    </row>
    <row r="404" spans="9:28" x14ac:dyDescent="0.25">
      <c r="O404" s="152"/>
      <c r="P404" s="96"/>
      <c r="Q404" s="97"/>
      <c r="AA404" s="96">
        <f t="shared" si="125"/>
        <v>0</v>
      </c>
      <c r="AB404" s="97">
        <f t="shared" si="124"/>
        <v>0</v>
      </c>
    </row>
    <row r="405" spans="9:28" x14ac:dyDescent="0.25">
      <c r="O405" s="152"/>
      <c r="P405" s="96"/>
      <c r="Q405" s="97"/>
      <c r="AA405" s="96">
        <f t="shared" si="125"/>
        <v>0</v>
      </c>
      <c r="AB405" s="97">
        <f t="shared" si="124"/>
        <v>0</v>
      </c>
    </row>
    <row r="406" spans="9:28" x14ac:dyDescent="0.25">
      <c r="O406" s="152"/>
      <c r="P406" s="96"/>
      <c r="Q406" s="97"/>
      <c r="AA406" s="96">
        <f t="shared" si="125"/>
        <v>0</v>
      </c>
      <c r="AB406" s="97">
        <f t="shared" si="124"/>
        <v>0</v>
      </c>
    </row>
    <row r="407" spans="9:28" x14ac:dyDescent="0.25">
      <c r="O407" s="152"/>
      <c r="P407" s="96"/>
      <c r="Q407" s="97"/>
      <c r="AA407" s="96">
        <f t="shared" si="125"/>
        <v>0</v>
      </c>
      <c r="AB407" s="97">
        <f t="shared" si="124"/>
        <v>0</v>
      </c>
    </row>
    <row r="408" spans="9:28" x14ac:dyDescent="0.25">
      <c r="O408" s="152"/>
      <c r="P408" s="96"/>
      <c r="Q408" s="97"/>
      <c r="AA408" s="96">
        <f t="shared" si="125"/>
        <v>0</v>
      </c>
      <c r="AB408" s="97">
        <f t="shared" si="124"/>
        <v>0</v>
      </c>
    </row>
    <row r="409" spans="9:28" x14ac:dyDescent="0.25">
      <c r="O409" s="152"/>
      <c r="P409" s="96"/>
      <c r="Q409" s="97"/>
      <c r="AA409" s="96">
        <f t="shared" si="125"/>
        <v>0</v>
      </c>
      <c r="AB409" s="97">
        <f t="shared" si="124"/>
        <v>0</v>
      </c>
    </row>
    <row r="410" spans="9:28" x14ac:dyDescent="0.25">
      <c r="O410" s="152"/>
      <c r="P410" s="96"/>
      <c r="Q410" s="97"/>
      <c r="AA410" s="96">
        <f t="shared" si="125"/>
        <v>0</v>
      </c>
      <c r="AB410" s="97">
        <f t="shared" si="124"/>
        <v>0</v>
      </c>
    </row>
    <row r="411" spans="9:28" x14ac:dyDescent="0.25">
      <c r="O411" s="152"/>
      <c r="P411" s="96"/>
      <c r="Q411" s="97"/>
      <c r="AA411" s="96">
        <f t="shared" si="125"/>
        <v>0</v>
      </c>
      <c r="AB411" s="97">
        <f t="shared" si="124"/>
        <v>0</v>
      </c>
    </row>
    <row r="412" spans="9:28" x14ac:dyDescent="0.25">
      <c r="O412" s="152"/>
      <c r="P412" s="96"/>
      <c r="Q412" s="97"/>
      <c r="AA412" s="96">
        <f t="shared" si="125"/>
        <v>0</v>
      </c>
      <c r="AB412" s="97">
        <f t="shared" si="124"/>
        <v>0</v>
      </c>
    </row>
    <row r="413" spans="9:28" x14ac:dyDescent="0.25">
      <c r="O413" s="152"/>
      <c r="P413" s="96"/>
      <c r="Q413" s="97"/>
      <c r="AA413" s="96">
        <f t="shared" si="125"/>
        <v>0</v>
      </c>
      <c r="AB413" s="97">
        <f t="shared" si="124"/>
        <v>0</v>
      </c>
    </row>
    <row r="414" spans="9:28" x14ac:dyDescent="0.25">
      <c r="O414" s="152"/>
      <c r="P414" s="96"/>
      <c r="Q414" s="97"/>
      <c r="AA414" s="96">
        <f t="shared" si="125"/>
        <v>0</v>
      </c>
      <c r="AB414" s="97">
        <f t="shared" si="124"/>
        <v>0</v>
      </c>
    </row>
    <row r="415" spans="9:28" x14ac:dyDescent="0.25">
      <c r="O415" s="152"/>
      <c r="P415" s="96"/>
      <c r="Q415" s="97"/>
      <c r="AA415" s="96">
        <f t="shared" si="125"/>
        <v>0</v>
      </c>
      <c r="AB415" s="97">
        <f t="shared" si="124"/>
        <v>0</v>
      </c>
    </row>
    <row r="416" spans="9:28" x14ac:dyDescent="0.25">
      <c r="I416" s="108"/>
      <c r="J416" s="108"/>
      <c r="K416" s="108"/>
      <c r="L416" s="108"/>
      <c r="M416" s="108"/>
      <c r="N416" s="108"/>
      <c r="O416" s="101"/>
      <c r="P416" s="96"/>
      <c r="Q416" s="97"/>
      <c r="R416" s="108"/>
      <c r="AA416" s="96">
        <f t="shared" si="125"/>
        <v>0</v>
      </c>
      <c r="AB416" s="97">
        <f t="shared" si="124"/>
        <v>0</v>
      </c>
    </row>
    <row r="417" spans="15:28" x14ac:dyDescent="0.25">
      <c r="O417" s="152"/>
      <c r="P417" s="96"/>
      <c r="Q417" s="97"/>
      <c r="AA417" s="96">
        <f t="shared" si="125"/>
        <v>0</v>
      </c>
      <c r="AB417" s="97">
        <f t="shared" si="124"/>
        <v>0</v>
      </c>
    </row>
    <row r="418" spans="15:28" x14ac:dyDescent="0.25">
      <c r="O418" s="152"/>
      <c r="P418" s="96"/>
      <c r="Q418" s="97"/>
      <c r="AA418" s="96">
        <f t="shared" si="125"/>
        <v>0</v>
      </c>
      <c r="AB418" s="97">
        <f t="shared" si="124"/>
        <v>0</v>
      </c>
    </row>
    <row r="419" spans="15:28" x14ac:dyDescent="0.25">
      <c r="O419" s="152"/>
      <c r="P419" s="96"/>
      <c r="Q419" s="97"/>
      <c r="AA419" s="96">
        <f t="shared" si="125"/>
        <v>0</v>
      </c>
      <c r="AB419" s="97">
        <f t="shared" si="124"/>
        <v>0</v>
      </c>
    </row>
    <row r="420" spans="15:28" x14ac:dyDescent="0.25">
      <c r="O420" s="152"/>
      <c r="P420" s="96"/>
      <c r="Q420" s="97"/>
      <c r="AA420" s="96">
        <f t="shared" si="125"/>
        <v>0</v>
      </c>
      <c r="AB420" s="97">
        <f t="shared" si="124"/>
        <v>0</v>
      </c>
    </row>
    <row r="421" spans="15:28" x14ac:dyDescent="0.25">
      <c r="O421" s="152"/>
      <c r="P421" s="96"/>
      <c r="Q421" s="97"/>
      <c r="AA421" s="96">
        <f t="shared" si="125"/>
        <v>0</v>
      </c>
      <c r="AB421" s="97">
        <f t="shared" si="124"/>
        <v>0</v>
      </c>
    </row>
    <row r="422" spans="15:28" x14ac:dyDescent="0.25">
      <c r="O422" s="152"/>
      <c r="P422" s="96"/>
      <c r="Q422" s="97"/>
      <c r="AA422" s="96">
        <f t="shared" si="125"/>
        <v>0</v>
      </c>
      <c r="AB422" s="97">
        <f t="shared" si="124"/>
        <v>0</v>
      </c>
    </row>
    <row r="423" spans="15:28" x14ac:dyDescent="0.25">
      <c r="O423" s="152"/>
      <c r="P423" s="96"/>
      <c r="Q423" s="97"/>
      <c r="AA423" s="96">
        <f t="shared" si="125"/>
        <v>0</v>
      </c>
      <c r="AB423" s="97">
        <f t="shared" si="124"/>
        <v>0</v>
      </c>
    </row>
    <row r="424" spans="15:28" x14ac:dyDescent="0.25">
      <c r="O424" s="152"/>
      <c r="P424" s="96"/>
      <c r="Q424" s="97"/>
      <c r="AA424" s="96">
        <f t="shared" si="125"/>
        <v>0</v>
      </c>
      <c r="AB424" s="97">
        <f t="shared" si="124"/>
        <v>0</v>
      </c>
    </row>
    <row r="425" spans="15:28" x14ac:dyDescent="0.25">
      <c r="O425" s="152"/>
      <c r="P425" s="96"/>
      <c r="Q425" s="97"/>
      <c r="AA425" s="96">
        <f t="shared" si="125"/>
        <v>0</v>
      </c>
      <c r="AB425" s="97">
        <f t="shared" si="124"/>
        <v>0</v>
      </c>
    </row>
    <row r="426" spans="15:28" x14ac:dyDescent="0.25">
      <c r="P426" s="96"/>
      <c r="Q426" s="97"/>
      <c r="AA426" s="96">
        <f t="shared" si="125"/>
        <v>0</v>
      </c>
      <c r="AB426" s="97">
        <f t="shared" si="124"/>
        <v>0</v>
      </c>
    </row>
    <row r="427" spans="15:28" x14ac:dyDescent="0.25">
      <c r="O427" s="152"/>
      <c r="P427" s="96"/>
      <c r="Q427" s="97"/>
      <c r="AA427" s="96">
        <f t="shared" si="125"/>
        <v>0</v>
      </c>
      <c r="AB427" s="97">
        <f t="shared" si="124"/>
        <v>0</v>
      </c>
    </row>
    <row r="428" spans="15:28" x14ac:dyDescent="0.25">
      <c r="P428" s="96"/>
      <c r="Q428" s="97"/>
      <c r="AA428" s="96">
        <f t="shared" si="125"/>
        <v>0</v>
      </c>
      <c r="AB428" s="97">
        <f t="shared" si="124"/>
        <v>0</v>
      </c>
    </row>
    <row r="429" spans="15:28" x14ac:dyDescent="0.25">
      <c r="P429" s="96"/>
      <c r="Q429" s="97"/>
      <c r="AA429" s="96">
        <f t="shared" si="125"/>
        <v>0</v>
      </c>
      <c r="AB429" s="97">
        <f t="shared" si="124"/>
        <v>0</v>
      </c>
    </row>
    <row r="430" spans="15:28" x14ac:dyDescent="0.25">
      <c r="P430" s="96"/>
      <c r="Q430" s="97"/>
      <c r="AA430" s="96">
        <f t="shared" si="125"/>
        <v>0</v>
      </c>
      <c r="AB430" s="97">
        <f t="shared" si="124"/>
        <v>0</v>
      </c>
    </row>
    <row r="431" spans="15:28" x14ac:dyDescent="0.25">
      <c r="P431" s="96"/>
      <c r="Q431" s="97"/>
      <c r="AA431" s="96">
        <f t="shared" si="125"/>
        <v>0</v>
      </c>
      <c r="AB431" s="97">
        <f t="shared" si="124"/>
        <v>0</v>
      </c>
    </row>
    <row r="432" spans="15:28" x14ac:dyDescent="0.25">
      <c r="P432" s="96"/>
      <c r="Q432" s="97"/>
      <c r="AA432" s="96">
        <f t="shared" si="125"/>
        <v>0</v>
      </c>
      <c r="AB432" s="97">
        <f t="shared" si="124"/>
        <v>0</v>
      </c>
    </row>
    <row r="433" spans="16:28" x14ac:dyDescent="0.25">
      <c r="P433" s="96"/>
      <c r="Q433" s="97"/>
      <c r="AA433" s="96">
        <f t="shared" si="125"/>
        <v>0</v>
      </c>
      <c r="AB433" s="97">
        <f t="shared" si="124"/>
        <v>0</v>
      </c>
    </row>
    <row r="434" spans="16:28" x14ac:dyDescent="0.25">
      <c r="P434" s="96"/>
      <c r="Q434" s="97"/>
      <c r="AA434" s="96">
        <f t="shared" ref="AA434:AA497" si="126">D434</f>
        <v>0</v>
      </c>
      <c r="AB434" s="97">
        <f t="shared" ref="AB434:AB497" si="127">IF(C434=2012, AA434/3,AA434)+Z434</f>
        <v>0</v>
      </c>
    </row>
    <row r="435" spans="16:28" x14ac:dyDescent="0.25">
      <c r="P435" s="96"/>
      <c r="Q435" s="97"/>
      <c r="AA435" s="96">
        <f t="shared" si="126"/>
        <v>0</v>
      </c>
      <c r="AB435" s="97">
        <f t="shared" si="127"/>
        <v>0</v>
      </c>
    </row>
    <row r="436" spans="16:28" x14ac:dyDescent="0.25">
      <c r="P436" s="96"/>
      <c r="Q436" s="97"/>
      <c r="AA436" s="96">
        <f t="shared" si="126"/>
        <v>0</v>
      </c>
      <c r="AB436" s="97">
        <f t="shared" si="127"/>
        <v>0</v>
      </c>
    </row>
    <row r="437" spans="16:28" x14ac:dyDescent="0.25">
      <c r="P437" s="96"/>
      <c r="Q437" s="97"/>
      <c r="AA437" s="96">
        <f t="shared" si="126"/>
        <v>0</v>
      </c>
      <c r="AB437" s="97">
        <f t="shared" si="127"/>
        <v>0</v>
      </c>
    </row>
    <row r="438" spans="16:28" x14ac:dyDescent="0.25">
      <c r="P438" s="96"/>
      <c r="Q438" s="97"/>
      <c r="AA438" s="96">
        <f t="shared" si="126"/>
        <v>0</v>
      </c>
      <c r="AB438" s="97">
        <f t="shared" si="127"/>
        <v>0</v>
      </c>
    </row>
    <row r="439" spans="16:28" x14ac:dyDescent="0.25">
      <c r="P439" s="96"/>
      <c r="Q439" s="97"/>
      <c r="AA439" s="96">
        <f t="shared" si="126"/>
        <v>0</v>
      </c>
      <c r="AB439" s="97">
        <f t="shared" si="127"/>
        <v>0</v>
      </c>
    </row>
    <row r="440" spans="16:28" x14ac:dyDescent="0.25">
      <c r="P440" s="96"/>
      <c r="Q440" s="97"/>
      <c r="AA440" s="96">
        <f t="shared" si="126"/>
        <v>0</v>
      </c>
      <c r="AB440" s="97">
        <f t="shared" si="127"/>
        <v>0</v>
      </c>
    </row>
    <row r="441" spans="16:28" x14ac:dyDescent="0.25">
      <c r="P441" s="96"/>
      <c r="Q441" s="97"/>
      <c r="AA441" s="96">
        <f t="shared" si="126"/>
        <v>0</v>
      </c>
      <c r="AB441" s="97">
        <f t="shared" si="127"/>
        <v>0</v>
      </c>
    </row>
    <row r="442" spans="16:28" x14ac:dyDescent="0.25">
      <c r="P442" s="96"/>
      <c r="Q442" s="97"/>
      <c r="AA442" s="96">
        <f t="shared" si="126"/>
        <v>0</v>
      </c>
      <c r="AB442" s="97">
        <f t="shared" si="127"/>
        <v>0</v>
      </c>
    </row>
    <row r="443" spans="16:28" x14ac:dyDescent="0.25">
      <c r="P443" s="96"/>
      <c r="Q443" s="97"/>
      <c r="AA443" s="96">
        <f t="shared" si="126"/>
        <v>0</v>
      </c>
      <c r="AB443" s="97">
        <f t="shared" si="127"/>
        <v>0</v>
      </c>
    </row>
    <row r="444" spans="16:28" x14ac:dyDescent="0.25">
      <c r="P444" s="96"/>
      <c r="Q444" s="97"/>
      <c r="AA444" s="96">
        <f t="shared" si="126"/>
        <v>0</v>
      </c>
      <c r="AB444" s="97">
        <f t="shared" si="127"/>
        <v>0</v>
      </c>
    </row>
    <row r="445" spans="16:28" x14ac:dyDescent="0.25">
      <c r="P445" s="96"/>
      <c r="Q445" s="97"/>
      <c r="AA445" s="96">
        <f t="shared" si="126"/>
        <v>0</v>
      </c>
      <c r="AB445" s="97">
        <f t="shared" si="127"/>
        <v>0</v>
      </c>
    </row>
    <row r="446" spans="16:28" x14ac:dyDescent="0.25">
      <c r="P446" s="96"/>
      <c r="Q446" s="97"/>
      <c r="AA446" s="96">
        <f t="shared" si="126"/>
        <v>0</v>
      </c>
      <c r="AB446" s="97">
        <f t="shared" si="127"/>
        <v>0</v>
      </c>
    </row>
    <row r="447" spans="16:28" x14ac:dyDescent="0.25">
      <c r="P447" s="96"/>
      <c r="Q447" s="97"/>
      <c r="AA447" s="96">
        <f t="shared" si="126"/>
        <v>0</v>
      </c>
      <c r="AB447" s="97">
        <f t="shared" si="127"/>
        <v>0</v>
      </c>
    </row>
    <row r="448" spans="16:28" x14ac:dyDescent="0.25">
      <c r="P448" s="96"/>
      <c r="Q448" s="97"/>
      <c r="AA448" s="96">
        <f t="shared" si="126"/>
        <v>0</v>
      </c>
      <c r="AB448" s="97">
        <f t="shared" si="127"/>
        <v>0</v>
      </c>
    </row>
    <row r="449" spans="16:28" x14ac:dyDescent="0.25">
      <c r="P449" s="96"/>
      <c r="Q449" s="97"/>
      <c r="AA449" s="96">
        <f t="shared" si="126"/>
        <v>0</v>
      </c>
      <c r="AB449" s="97">
        <f t="shared" si="127"/>
        <v>0</v>
      </c>
    </row>
    <row r="450" spans="16:28" x14ac:dyDescent="0.25">
      <c r="P450" s="96"/>
      <c r="Q450" s="97"/>
      <c r="AA450" s="96">
        <f t="shared" si="126"/>
        <v>0</v>
      </c>
      <c r="AB450" s="97">
        <f t="shared" si="127"/>
        <v>0</v>
      </c>
    </row>
    <row r="451" spans="16:28" x14ac:dyDescent="0.25">
      <c r="P451" s="96"/>
      <c r="Q451" s="97"/>
      <c r="AA451" s="96">
        <f t="shared" si="126"/>
        <v>0</v>
      </c>
      <c r="AB451" s="97">
        <f t="shared" si="127"/>
        <v>0</v>
      </c>
    </row>
    <row r="452" spans="16:28" x14ac:dyDescent="0.25">
      <c r="P452" s="96"/>
      <c r="Q452" s="97"/>
      <c r="AA452" s="96">
        <f t="shared" si="126"/>
        <v>0</v>
      </c>
      <c r="AB452" s="97">
        <f t="shared" si="127"/>
        <v>0</v>
      </c>
    </row>
    <row r="453" spans="16:28" x14ac:dyDescent="0.25">
      <c r="P453" s="96"/>
      <c r="Q453" s="97"/>
      <c r="AA453" s="96">
        <f t="shared" si="126"/>
        <v>0</v>
      </c>
      <c r="AB453" s="97">
        <f t="shared" si="127"/>
        <v>0</v>
      </c>
    </row>
    <row r="454" spans="16:28" x14ac:dyDescent="0.25">
      <c r="P454" s="96"/>
      <c r="Q454" s="97"/>
      <c r="AA454" s="96">
        <f t="shared" si="126"/>
        <v>0</v>
      </c>
      <c r="AB454" s="97">
        <f t="shared" si="127"/>
        <v>0</v>
      </c>
    </row>
    <row r="455" spans="16:28" x14ac:dyDescent="0.25">
      <c r="P455" s="96"/>
      <c r="Q455" s="97"/>
      <c r="AA455" s="96">
        <f t="shared" si="126"/>
        <v>0</v>
      </c>
      <c r="AB455" s="97">
        <f t="shared" si="127"/>
        <v>0</v>
      </c>
    </row>
    <row r="456" spans="16:28" x14ac:dyDescent="0.25">
      <c r="P456" s="96"/>
      <c r="Q456" s="97"/>
      <c r="AA456" s="96">
        <f t="shared" si="126"/>
        <v>0</v>
      </c>
      <c r="AB456" s="97">
        <f t="shared" si="127"/>
        <v>0</v>
      </c>
    </row>
    <row r="457" spans="16:28" x14ac:dyDescent="0.25">
      <c r="P457" s="96"/>
      <c r="Q457" s="97"/>
      <c r="AA457" s="96">
        <f t="shared" si="126"/>
        <v>0</v>
      </c>
      <c r="AB457" s="97">
        <f t="shared" si="127"/>
        <v>0</v>
      </c>
    </row>
    <row r="458" spans="16:28" x14ac:dyDescent="0.25">
      <c r="P458" s="96"/>
      <c r="Q458" s="97"/>
      <c r="AA458" s="96">
        <f t="shared" si="126"/>
        <v>0</v>
      </c>
      <c r="AB458" s="97">
        <f t="shared" si="127"/>
        <v>0</v>
      </c>
    </row>
    <row r="459" spans="16:28" x14ac:dyDescent="0.25">
      <c r="P459" s="96"/>
      <c r="Q459" s="97"/>
      <c r="AA459" s="96">
        <f t="shared" si="126"/>
        <v>0</v>
      </c>
      <c r="AB459" s="97">
        <f t="shared" si="127"/>
        <v>0</v>
      </c>
    </row>
    <row r="460" spans="16:28" x14ac:dyDescent="0.25">
      <c r="P460" s="96"/>
      <c r="Q460" s="97"/>
      <c r="AA460" s="96">
        <f t="shared" si="126"/>
        <v>0</v>
      </c>
      <c r="AB460" s="97">
        <f t="shared" si="127"/>
        <v>0</v>
      </c>
    </row>
    <row r="461" spans="16:28" x14ac:dyDescent="0.25">
      <c r="P461" s="96"/>
      <c r="Q461" s="97"/>
      <c r="AA461" s="96">
        <f t="shared" si="126"/>
        <v>0</v>
      </c>
      <c r="AB461" s="97">
        <f t="shared" si="127"/>
        <v>0</v>
      </c>
    </row>
    <row r="462" spans="16:28" x14ac:dyDescent="0.25">
      <c r="P462" s="96"/>
      <c r="Q462" s="97"/>
      <c r="AA462" s="96">
        <f t="shared" si="126"/>
        <v>0</v>
      </c>
      <c r="AB462" s="97">
        <f t="shared" si="127"/>
        <v>0</v>
      </c>
    </row>
    <row r="463" spans="16:28" x14ac:dyDescent="0.25">
      <c r="P463" s="96"/>
      <c r="Q463" s="97"/>
      <c r="AA463" s="96">
        <f t="shared" si="126"/>
        <v>0</v>
      </c>
      <c r="AB463" s="97">
        <f t="shared" si="127"/>
        <v>0</v>
      </c>
    </row>
    <row r="464" spans="16:28" x14ac:dyDescent="0.25">
      <c r="P464" s="96"/>
      <c r="Q464" s="97"/>
      <c r="AA464" s="96">
        <f t="shared" si="126"/>
        <v>0</v>
      </c>
      <c r="AB464" s="97">
        <f t="shared" si="127"/>
        <v>0</v>
      </c>
    </row>
    <row r="465" spans="16:28" x14ac:dyDescent="0.25">
      <c r="P465" s="96"/>
      <c r="Q465" s="97"/>
      <c r="AA465" s="96">
        <f t="shared" si="126"/>
        <v>0</v>
      </c>
      <c r="AB465" s="97">
        <f t="shared" si="127"/>
        <v>0</v>
      </c>
    </row>
    <row r="466" spans="16:28" x14ac:dyDescent="0.25">
      <c r="P466" s="96"/>
      <c r="Q466" s="97"/>
      <c r="AA466" s="96">
        <f t="shared" si="126"/>
        <v>0</v>
      </c>
      <c r="AB466" s="97">
        <f t="shared" si="127"/>
        <v>0</v>
      </c>
    </row>
    <row r="467" spans="16:28" x14ac:dyDescent="0.25">
      <c r="P467" s="96"/>
      <c r="Q467" s="97"/>
      <c r="AA467" s="96">
        <f t="shared" si="126"/>
        <v>0</v>
      </c>
      <c r="AB467" s="97">
        <f t="shared" si="127"/>
        <v>0</v>
      </c>
    </row>
    <row r="468" spans="16:28" x14ac:dyDescent="0.25">
      <c r="P468" s="96"/>
      <c r="Q468" s="97"/>
      <c r="AA468" s="96">
        <f t="shared" si="126"/>
        <v>0</v>
      </c>
      <c r="AB468" s="97">
        <f t="shared" si="127"/>
        <v>0</v>
      </c>
    </row>
    <row r="469" spans="16:28" x14ac:dyDescent="0.25">
      <c r="P469" s="96"/>
      <c r="Q469" s="97"/>
      <c r="AA469" s="96">
        <f t="shared" si="126"/>
        <v>0</v>
      </c>
      <c r="AB469" s="97">
        <f t="shared" si="127"/>
        <v>0</v>
      </c>
    </row>
    <row r="470" spans="16:28" x14ac:dyDescent="0.25">
      <c r="P470" s="96"/>
      <c r="Q470" s="97"/>
      <c r="AA470" s="96">
        <f t="shared" si="126"/>
        <v>0</v>
      </c>
      <c r="AB470" s="97">
        <f t="shared" si="127"/>
        <v>0</v>
      </c>
    </row>
    <row r="471" spans="16:28" x14ac:dyDescent="0.25">
      <c r="P471" s="96"/>
      <c r="Q471" s="97"/>
      <c r="AA471" s="96">
        <f t="shared" si="126"/>
        <v>0</v>
      </c>
      <c r="AB471" s="97">
        <f t="shared" si="127"/>
        <v>0</v>
      </c>
    </row>
    <row r="472" spans="16:28" x14ac:dyDescent="0.25">
      <c r="P472" s="96"/>
      <c r="Q472" s="97"/>
      <c r="AA472" s="96">
        <f t="shared" si="126"/>
        <v>0</v>
      </c>
      <c r="AB472" s="97">
        <f t="shared" si="127"/>
        <v>0</v>
      </c>
    </row>
    <row r="473" spans="16:28" x14ac:dyDescent="0.25">
      <c r="P473" s="96"/>
      <c r="Q473" s="97"/>
      <c r="AA473" s="96">
        <f t="shared" si="126"/>
        <v>0</v>
      </c>
      <c r="AB473" s="97">
        <f t="shared" si="127"/>
        <v>0</v>
      </c>
    </row>
    <row r="474" spans="16:28" x14ac:dyDescent="0.25">
      <c r="P474" s="96"/>
      <c r="Q474" s="97"/>
      <c r="AA474" s="96">
        <f t="shared" si="126"/>
        <v>0</v>
      </c>
      <c r="AB474" s="97">
        <f t="shared" si="127"/>
        <v>0</v>
      </c>
    </row>
    <row r="475" spans="16:28" x14ac:dyDescent="0.25">
      <c r="P475" s="96"/>
      <c r="Q475" s="97"/>
      <c r="AA475" s="96">
        <f t="shared" si="126"/>
        <v>0</v>
      </c>
      <c r="AB475" s="97">
        <f t="shared" si="127"/>
        <v>0</v>
      </c>
    </row>
    <row r="476" spans="16:28" x14ac:dyDescent="0.25">
      <c r="P476" s="96"/>
      <c r="Q476" s="97"/>
      <c r="AA476" s="96">
        <f t="shared" si="126"/>
        <v>0</v>
      </c>
      <c r="AB476" s="97">
        <f t="shared" si="127"/>
        <v>0</v>
      </c>
    </row>
    <row r="477" spans="16:28" x14ac:dyDescent="0.25">
      <c r="P477" s="96"/>
      <c r="Q477" s="97"/>
      <c r="AA477" s="96">
        <f t="shared" si="126"/>
        <v>0</v>
      </c>
      <c r="AB477" s="97">
        <f t="shared" si="127"/>
        <v>0</v>
      </c>
    </row>
    <row r="478" spans="16:28" x14ac:dyDescent="0.25">
      <c r="P478" s="96"/>
      <c r="Q478" s="97"/>
      <c r="AA478" s="96">
        <f t="shared" si="126"/>
        <v>0</v>
      </c>
      <c r="AB478" s="97">
        <f t="shared" si="127"/>
        <v>0</v>
      </c>
    </row>
    <row r="479" spans="16:28" x14ac:dyDescent="0.25">
      <c r="P479" s="96"/>
      <c r="Q479" s="97"/>
      <c r="AA479" s="96">
        <f t="shared" si="126"/>
        <v>0</v>
      </c>
      <c r="AB479" s="97">
        <f t="shared" si="127"/>
        <v>0</v>
      </c>
    </row>
    <row r="480" spans="16:28" x14ac:dyDescent="0.25">
      <c r="P480" s="96"/>
      <c r="Q480" s="97"/>
      <c r="AA480" s="96">
        <f t="shared" si="126"/>
        <v>0</v>
      </c>
      <c r="AB480" s="97">
        <f t="shared" si="127"/>
        <v>0</v>
      </c>
    </row>
    <row r="481" spans="16:28" x14ac:dyDescent="0.25">
      <c r="P481" s="96"/>
      <c r="Q481" s="97"/>
      <c r="AA481" s="96">
        <f t="shared" si="126"/>
        <v>0</v>
      </c>
      <c r="AB481" s="97">
        <f t="shared" si="127"/>
        <v>0</v>
      </c>
    </row>
    <row r="482" spans="16:28" x14ac:dyDescent="0.25">
      <c r="P482" s="96"/>
      <c r="Q482" s="97"/>
      <c r="AA482" s="96">
        <f t="shared" si="126"/>
        <v>0</v>
      </c>
      <c r="AB482" s="97">
        <f t="shared" si="127"/>
        <v>0</v>
      </c>
    </row>
    <row r="483" spans="16:28" x14ac:dyDescent="0.25">
      <c r="P483" s="96"/>
      <c r="Q483" s="97"/>
      <c r="AA483" s="96">
        <f t="shared" si="126"/>
        <v>0</v>
      </c>
      <c r="AB483" s="97">
        <f t="shared" si="127"/>
        <v>0</v>
      </c>
    </row>
    <row r="484" spans="16:28" x14ac:dyDescent="0.25">
      <c r="P484" s="96"/>
      <c r="Q484" s="97"/>
      <c r="AA484" s="96">
        <f t="shared" si="126"/>
        <v>0</v>
      </c>
      <c r="AB484" s="97">
        <f t="shared" si="127"/>
        <v>0</v>
      </c>
    </row>
    <row r="485" spans="16:28" x14ac:dyDescent="0.25">
      <c r="P485" s="96"/>
      <c r="Q485" s="97"/>
      <c r="AA485" s="96">
        <f t="shared" si="126"/>
        <v>0</v>
      </c>
      <c r="AB485" s="97">
        <f t="shared" si="127"/>
        <v>0</v>
      </c>
    </row>
    <row r="486" spans="16:28" x14ac:dyDescent="0.25">
      <c r="P486" s="96"/>
      <c r="Q486" s="97"/>
      <c r="AA486" s="96">
        <f t="shared" si="126"/>
        <v>0</v>
      </c>
      <c r="AB486" s="97">
        <f t="shared" si="127"/>
        <v>0</v>
      </c>
    </row>
    <row r="487" spans="16:28" x14ac:dyDescent="0.25">
      <c r="P487" s="96"/>
      <c r="Q487" s="97"/>
      <c r="AA487" s="96">
        <f t="shared" si="126"/>
        <v>0</v>
      </c>
      <c r="AB487" s="97">
        <f t="shared" si="127"/>
        <v>0</v>
      </c>
    </row>
    <row r="488" spans="16:28" x14ac:dyDescent="0.25">
      <c r="P488" s="96"/>
      <c r="Q488" s="97"/>
      <c r="AA488" s="96">
        <f t="shared" si="126"/>
        <v>0</v>
      </c>
      <c r="AB488" s="97">
        <f t="shared" si="127"/>
        <v>0</v>
      </c>
    </row>
    <row r="489" spans="16:28" x14ac:dyDescent="0.25">
      <c r="P489" s="96"/>
      <c r="Q489" s="97"/>
      <c r="AA489" s="96">
        <f t="shared" si="126"/>
        <v>0</v>
      </c>
      <c r="AB489" s="97">
        <f t="shared" si="127"/>
        <v>0</v>
      </c>
    </row>
    <row r="490" spans="16:28" x14ac:dyDescent="0.25">
      <c r="P490" s="96"/>
      <c r="Q490" s="97"/>
      <c r="AA490" s="96">
        <f t="shared" si="126"/>
        <v>0</v>
      </c>
      <c r="AB490" s="97">
        <f t="shared" si="127"/>
        <v>0</v>
      </c>
    </row>
    <row r="491" spans="16:28" x14ac:dyDescent="0.25">
      <c r="P491" s="96"/>
      <c r="Q491" s="97"/>
      <c r="AA491" s="96">
        <f t="shared" si="126"/>
        <v>0</v>
      </c>
      <c r="AB491" s="97">
        <f t="shared" si="127"/>
        <v>0</v>
      </c>
    </row>
    <row r="492" spans="16:28" x14ac:dyDescent="0.25">
      <c r="P492" s="96"/>
      <c r="Q492" s="97"/>
      <c r="AA492" s="96">
        <f t="shared" si="126"/>
        <v>0</v>
      </c>
      <c r="AB492" s="97">
        <f t="shared" si="127"/>
        <v>0</v>
      </c>
    </row>
    <row r="493" spans="16:28" x14ac:dyDescent="0.25">
      <c r="P493" s="96"/>
      <c r="Q493" s="97"/>
      <c r="AA493" s="96">
        <f t="shared" si="126"/>
        <v>0</v>
      </c>
      <c r="AB493" s="97">
        <f t="shared" si="127"/>
        <v>0</v>
      </c>
    </row>
    <row r="494" spans="16:28" x14ac:dyDescent="0.25">
      <c r="P494" s="96"/>
      <c r="Q494" s="97"/>
      <c r="AA494" s="96">
        <f t="shared" si="126"/>
        <v>0</v>
      </c>
      <c r="AB494" s="97">
        <f t="shared" si="127"/>
        <v>0</v>
      </c>
    </row>
    <row r="495" spans="16:28" x14ac:dyDescent="0.25">
      <c r="P495" s="96"/>
      <c r="Q495" s="97"/>
      <c r="AA495" s="96">
        <f t="shared" si="126"/>
        <v>0</v>
      </c>
      <c r="AB495" s="97">
        <f t="shared" si="127"/>
        <v>0</v>
      </c>
    </row>
    <row r="496" spans="16:28" x14ac:dyDescent="0.25">
      <c r="P496" s="96"/>
      <c r="Q496" s="97"/>
      <c r="AA496" s="96">
        <f t="shared" si="126"/>
        <v>0</v>
      </c>
      <c r="AB496" s="97">
        <f t="shared" si="127"/>
        <v>0</v>
      </c>
    </row>
    <row r="497" spans="16:28" x14ac:dyDescent="0.25">
      <c r="P497" s="96"/>
      <c r="Q497" s="97"/>
      <c r="AA497" s="96">
        <f t="shared" si="126"/>
        <v>0</v>
      </c>
      <c r="AB497" s="97">
        <f t="shared" si="127"/>
        <v>0</v>
      </c>
    </row>
    <row r="498" spans="16:28" x14ac:dyDescent="0.25">
      <c r="P498" s="96"/>
      <c r="Q498" s="97"/>
      <c r="AA498" s="96">
        <f t="shared" ref="AA498:AA528" si="128">D498</f>
        <v>0</v>
      </c>
      <c r="AB498" s="97">
        <f t="shared" ref="AB498:AB528" si="129">IF(C498=2012, AA498/3,AA498)+Z498</f>
        <v>0</v>
      </c>
    </row>
    <row r="499" spans="16:28" x14ac:dyDescent="0.25">
      <c r="P499" s="96"/>
      <c r="Q499" s="97"/>
      <c r="AA499" s="96">
        <f t="shared" si="128"/>
        <v>0</v>
      </c>
      <c r="AB499" s="97">
        <f t="shared" si="129"/>
        <v>0</v>
      </c>
    </row>
    <row r="500" spans="16:28" x14ac:dyDescent="0.25">
      <c r="P500" s="96"/>
      <c r="Q500" s="97"/>
      <c r="AA500" s="96">
        <f t="shared" si="128"/>
        <v>0</v>
      </c>
      <c r="AB500" s="97">
        <f t="shared" si="129"/>
        <v>0</v>
      </c>
    </row>
    <row r="501" spans="16:28" x14ac:dyDescent="0.25">
      <c r="P501" s="96"/>
      <c r="Q501" s="97"/>
      <c r="AA501" s="96">
        <f t="shared" si="128"/>
        <v>0</v>
      </c>
      <c r="AB501" s="97">
        <f t="shared" si="129"/>
        <v>0</v>
      </c>
    </row>
    <row r="502" spans="16:28" x14ac:dyDescent="0.25">
      <c r="P502" s="96"/>
      <c r="Q502" s="97"/>
      <c r="AA502" s="96">
        <f t="shared" si="128"/>
        <v>0</v>
      </c>
      <c r="AB502" s="97">
        <f t="shared" si="129"/>
        <v>0</v>
      </c>
    </row>
    <row r="503" spans="16:28" x14ac:dyDescent="0.25">
      <c r="P503" s="96"/>
      <c r="Q503" s="97"/>
      <c r="AA503" s="96">
        <f t="shared" si="128"/>
        <v>0</v>
      </c>
      <c r="AB503" s="97">
        <f t="shared" si="129"/>
        <v>0</v>
      </c>
    </row>
    <row r="504" spans="16:28" x14ac:dyDescent="0.25">
      <c r="P504" s="96"/>
      <c r="Q504" s="97"/>
      <c r="AA504" s="96">
        <f t="shared" si="128"/>
        <v>0</v>
      </c>
      <c r="AB504" s="97">
        <f t="shared" si="129"/>
        <v>0</v>
      </c>
    </row>
    <row r="505" spans="16:28" x14ac:dyDescent="0.25">
      <c r="P505" s="96"/>
      <c r="Q505" s="97"/>
      <c r="AA505" s="96">
        <f t="shared" si="128"/>
        <v>0</v>
      </c>
      <c r="AB505" s="97">
        <f t="shared" si="129"/>
        <v>0</v>
      </c>
    </row>
    <row r="506" spans="16:28" x14ac:dyDescent="0.25">
      <c r="P506" s="96"/>
      <c r="Q506" s="97"/>
      <c r="AA506" s="96">
        <f t="shared" si="128"/>
        <v>0</v>
      </c>
      <c r="AB506" s="97">
        <f t="shared" si="129"/>
        <v>0</v>
      </c>
    </row>
    <row r="507" spans="16:28" x14ac:dyDescent="0.25">
      <c r="P507" s="96"/>
      <c r="Q507" s="97"/>
      <c r="AA507" s="96">
        <f t="shared" si="128"/>
        <v>0</v>
      </c>
      <c r="AB507" s="97">
        <f t="shared" si="129"/>
        <v>0</v>
      </c>
    </row>
    <row r="508" spans="16:28" x14ac:dyDescent="0.25">
      <c r="P508" s="96"/>
      <c r="Q508" s="97"/>
      <c r="AA508" s="96">
        <f t="shared" si="128"/>
        <v>0</v>
      </c>
      <c r="AB508" s="97">
        <f t="shared" si="129"/>
        <v>0</v>
      </c>
    </row>
    <row r="509" spans="16:28" x14ac:dyDescent="0.25">
      <c r="P509" s="96"/>
      <c r="Q509" s="97"/>
      <c r="AA509" s="96">
        <f t="shared" si="128"/>
        <v>0</v>
      </c>
      <c r="AB509" s="97">
        <f t="shared" si="129"/>
        <v>0</v>
      </c>
    </row>
    <row r="510" spans="16:28" x14ac:dyDescent="0.25">
      <c r="P510" s="96"/>
      <c r="Q510" s="97"/>
      <c r="AA510" s="96">
        <f t="shared" si="128"/>
        <v>0</v>
      </c>
      <c r="AB510" s="97">
        <f t="shared" si="129"/>
        <v>0</v>
      </c>
    </row>
    <row r="511" spans="16:28" x14ac:dyDescent="0.25">
      <c r="P511" s="96"/>
      <c r="Q511" s="97"/>
      <c r="AA511" s="96">
        <f t="shared" si="128"/>
        <v>0</v>
      </c>
      <c r="AB511" s="97">
        <f t="shared" si="129"/>
        <v>0</v>
      </c>
    </row>
    <row r="512" spans="16:28" x14ac:dyDescent="0.25">
      <c r="P512" s="96"/>
      <c r="Q512" s="97"/>
      <c r="AA512" s="96">
        <f t="shared" si="128"/>
        <v>0</v>
      </c>
      <c r="AB512" s="97">
        <f t="shared" si="129"/>
        <v>0</v>
      </c>
    </row>
    <row r="513" spans="16:28" x14ac:dyDescent="0.25">
      <c r="P513" s="96"/>
      <c r="Q513" s="97"/>
      <c r="AA513" s="96">
        <f t="shared" si="128"/>
        <v>0</v>
      </c>
      <c r="AB513" s="97">
        <f t="shared" si="129"/>
        <v>0</v>
      </c>
    </row>
    <row r="514" spans="16:28" x14ac:dyDescent="0.25">
      <c r="P514" s="96"/>
      <c r="Q514" s="97"/>
      <c r="AA514" s="96">
        <f t="shared" si="128"/>
        <v>0</v>
      </c>
      <c r="AB514" s="97">
        <f t="shared" si="129"/>
        <v>0</v>
      </c>
    </row>
    <row r="515" spans="16:28" x14ac:dyDescent="0.25">
      <c r="P515" s="96"/>
      <c r="Q515" s="97"/>
      <c r="AA515" s="96">
        <f t="shared" si="128"/>
        <v>0</v>
      </c>
      <c r="AB515" s="97">
        <f t="shared" si="129"/>
        <v>0</v>
      </c>
    </row>
    <row r="516" spans="16:28" x14ac:dyDescent="0.25">
      <c r="P516" s="96"/>
      <c r="Q516" s="97"/>
      <c r="AA516" s="96">
        <f t="shared" si="128"/>
        <v>0</v>
      </c>
      <c r="AB516" s="97">
        <f t="shared" si="129"/>
        <v>0</v>
      </c>
    </row>
    <row r="517" spans="16:28" x14ac:dyDescent="0.25">
      <c r="P517" s="96"/>
      <c r="Q517" s="97"/>
      <c r="AA517" s="96">
        <f t="shared" si="128"/>
        <v>0</v>
      </c>
      <c r="AB517" s="97">
        <f t="shared" si="129"/>
        <v>0</v>
      </c>
    </row>
    <row r="518" spans="16:28" x14ac:dyDescent="0.25">
      <c r="P518" s="96"/>
      <c r="Q518" s="97"/>
      <c r="AA518" s="96">
        <f t="shared" si="128"/>
        <v>0</v>
      </c>
      <c r="AB518" s="97">
        <f t="shared" si="129"/>
        <v>0</v>
      </c>
    </row>
    <row r="519" spans="16:28" x14ac:dyDescent="0.25">
      <c r="P519" s="96"/>
      <c r="Q519" s="97"/>
      <c r="AA519" s="96">
        <f t="shared" si="128"/>
        <v>0</v>
      </c>
      <c r="AB519" s="97">
        <f t="shared" si="129"/>
        <v>0</v>
      </c>
    </row>
    <row r="520" spans="16:28" x14ac:dyDescent="0.25">
      <c r="P520" s="96"/>
      <c r="Q520" s="97"/>
      <c r="AA520" s="96">
        <f t="shared" si="128"/>
        <v>0</v>
      </c>
      <c r="AB520" s="97">
        <f t="shared" si="129"/>
        <v>0</v>
      </c>
    </row>
    <row r="521" spans="16:28" x14ac:dyDescent="0.25">
      <c r="P521" s="96"/>
      <c r="Q521" s="97"/>
      <c r="AA521" s="96">
        <f t="shared" si="128"/>
        <v>0</v>
      </c>
      <c r="AB521" s="97">
        <f t="shared" si="129"/>
        <v>0</v>
      </c>
    </row>
    <row r="522" spans="16:28" x14ac:dyDescent="0.25">
      <c r="P522" s="96"/>
      <c r="Q522" s="97"/>
      <c r="AA522" s="96">
        <f t="shared" si="128"/>
        <v>0</v>
      </c>
      <c r="AB522" s="97">
        <f t="shared" si="129"/>
        <v>0</v>
      </c>
    </row>
    <row r="523" spans="16:28" x14ac:dyDescent="0.25">
      <c r="P523" s="96"/>
      <c r="Q523" s="97"/>
      <c r="AA523" s="96">
        <f t="shared" si="128"/>
        <v>0</v>
      </c>
      <c r="AB523" s="97">
        <f t="shared" si="129"/>
        <v>0</v>
      </c>
    </row>
    <row r="524" spans="16:28" x14ac:dyDescent="0.25">
      <c r="P524" s="96"/>
      <c r="Q524" s="97"/>
      <c r="AA524" s="96">
        <f t="shared" si="128"/>
        <v>0</v>
      </c>
      <c r="AB524" s="97">
        <f t="shared" si="129"/>
        <v>0</v>
      </c>
    </row>
    <row r="525" spans="16:28" x14ac:dyDescent="0.25">
      <c r="P525" s="96"/>
      <c r="Q525" s="97"/>
      <c r="AA525" s="96">
        <f t="shared" si="128"/>
        <v>0</v>
      </c>
      <c r="AB525" s="97">
        <f t="shared" si="129"/>
        <v>0</v>
      </c>
    </row>
    <row r="526" spans="16:28" x14ac:dyDescent="0.25">
      <c r="P526" s="96"/>
      <c r="Q526" s="97"/>
      <c r="AA526" s="96">
        <f t="shared" si="128"/>
        <v>0</v>
      </c>
      <c r="AB526" s="97">
        <f t="shared" si="129"/>
        <v>0</v>
      </c>
    </row>
    <row r="527" spans="16:28" x14ac:dyDescent="0.25">
      <c r="P527" s="96"/>
      <c r="Q527" s="97"/>
      <c r="AA527" s="96">
        <f t="shared" si="128"/>
        <v>0</v>
      </c>
      <c r="AB527" s="97">
        <f t="shared" si="129"/>
        <v>0</v>
      </c>
    </row>
    <row r="528" spans="16:28" x14ac:dyDescent="0.25">
      <c r="P528" s="96"/>
      <c r="Q528" s="97"/>
      <c r="AA528" s="96">
        <f t="shared" si="128"/>
        <v>0</v>
      </c>
      <c r="AB528" s="97">
        <f t="shared" si="129"/>
        <v>0</v>
      </c>
    </row>
  </sheetData>
  <autoFilter ref="B1:B325" xr:uid="{00000000-0001-0000-0500-000000000000}"/>
  <sortState xmlns:xlrd2="http://schemas.microsoft.com/office/spreadsheetml/2017/richdata2" ref="A22:BO312">
    <sortCondition ref="A312"/>
  </sortState>
  <mergeCells count="6">
    <mergeCell ref="A313:C313"/>
    <mergeCell ref="A5:C5"/>
    <mergeCell ref="A21:C21"/>
    <mergeCell ref="A1:C2"/>
    <mergeCell ref="AM3:AN3"/>
    <mergeCell ref="W3:X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430"/>
  <sheetViews>
    <sheetView zoomScaleNormal="100" workbookViewId="0">
      <pane xSplit="4" ySplit="4" topLeftCell="E5" activePane="bottomRight" state="frozen"/>
      <selection pane="topRight" activeCell="E1" sqref="E1"/>
      <selection pane="bottomLeft" activeCell="A3" sqref="A3"/>
      <selection pane="bottomRight" activeCell="E19" sqref="E19"/>
    </sheetView>
  </sheetViews>
  <sheetFormatPr defaultRowHeight="15" x14ac:dyDescent="0.25"/>
  <cols>
    <col min="1" max="1" width="19.7109375" style="11" bestFit="1" customWidth="1"/>
    <col min="2" max="2" width="20.28515625" style="11" bestFit="1" customWidth="1"/>
    <col min="3" max="3" width="8.140625" style="3" bestFit="1" customWidth="1"/>
    <col min="4" max="4" width="12" style="7" customWidth="1"/>
    <col min="5" max="5" width="12.28515625" style="283" customWidth="1"/>
    <col min="6" max="6" width="12.28515625" style="278" customWidth="1"/>
    <col min="7" max="7" width="12.28515625" style="120" customWidth="1"/>
    <col min="8" max="8" width="2.7109375" style="13" customWidth="1"/>
    <col min="9" max="9" width="12.28515625" style="261" customWidth="1"/>
    <col min="10" max="10" width="12.28515625" style="246" customWidth="1"/>
    <col min="11" max="12" width="12.28515625" style="241" customWidth="1"/>
    <col min="13" max="13" width="12.28515625" style="215" customWidth="1"/>
    <col min="14" max="14" width="12.28515625" style="267" customWidth="1"/>
    <col min="15" max="15" width="11" style="215" customWidth="1"/>
    <col min="16" max="17" width="9.140625" style="3"/>
    <col min="18" max="18" width="2.85546875" style="215" customWidth="1"/>
    <col min="19" max="25" width="13.28515625" style="13" customWidth="1"/>
    <col min="26" max="26" width="10.85546875" style="13" customWidth="1"/>
    <col min="27" max="28" width="9.140625" style="3"/>
    <col min="29" max="29" width="3.42578125" style="13" customWidth="1"/>
    <col min="30" max="30" width="13.28515625" style="13" customWidth="1"/>
    <col min="31" max="35" width="10.85546875" style="13" customWidth="1"/>
    <col min="36" max="36" width="8.85546875" style="13" customWidth="1"/>
    <col min="37" max="37" width="8.42578125" style="13" customWidth="1"/>
    <col min="38" max="38" width="3.42578125" style="13" customWidth="1"/>
    <col min="39" max="39" width="8.85546875" style="13" customWidth="1"/>
    <col min="40" max="42" width="11.140625" style="13" customWidth="1"/>
    <col min="43" max="43" width="13.5703125" style="13" customWidth="1"/>
    <col min="44" max="44" width="11.140625" style="13" customWidth="1"/>
    <col min="45" max="45" width="8.85546875" style="13" customWidth="1"/>
    <col min="46" max="46" width="10.7109375" style="13" customWidth="1"/>
    <col min="47" max="47" width="8.85546875" style="13" customWidth="1"/>
    <col min="48" max="48" width="8.42578125" style="13" customWidth="1"/>
    <col min="49" max="49" width="12" style="3" customWidth="1"/>
    <col min="50" max="16384" width="9.140625" style="3"/>
  </cols>
  <sheetData>
    <row r="1" spans="1:49" ht="15" customHeight="1" x14ac:dyDescent="0.5">
      <c r="A1" s="296" t="s">
        <v>31</v>
      </c>
      <c r="B1" s="297"/>
      <c r="C1" s="297"/>
      <c r="D1" s="55"/>
      <c r="E1" s="271"/>
      <c r="F1" s="271"/>
      <c r="G1" s="102"/>
      <c r="H1" s="211"/>
      <c r="I1" s="102"/>
      <c r="J1" s="102"/>
      <c r="K1" s="102"/>
      <c r="L1" s="102"/>
      <c r="M1" s="102"/>
      <c r="N1" s="102"/>
      <c r="O1" s="102"/>
      <c r="R1" s="102"/>
      <c r="S1" s="56"/>
      <c r="T1" s="56"/>
      <c r="U1" s="56"/>
      <c r="V1" s="56"/>
      <c r="W1" s="56"/>
      <c r="X1" s="56"/>
      <c r="Y1" s="56"/>
      <c r="Z1" s="56"/>
      <c r="AC1" s="56"/>
      <c r="AD1" s="56"/>
      <c r="AE1" s="56"/>
      <c r="AF1" s="56"/>
      <c r="AG1" s="56"/>
      <c r="AH1" s="56"/>
      <c r="AI1" s="56"/>
      <c r="AJ1" s="55"/>
      <c r="AK1" s="30"/>
      <c r="AL1" s="56"/>
      <c r="AM1" s="56"/>
      <c r="AN1" s="56"/>
      <c r="AO1" s="56"/>
      <c r="AP1" s="56"/>
      <c r="AQ1" s="56"/>
      <c r="AR1" s="56"/>
      <c r="AS1" s="56"/>
      <c r="AT1" s="55"/>
      <c r="AU1" s="55"/>
      <c r="AV1" s="30"/>
    </row>
    <row r="2" spans="1:49" ht="15" customHeight="1" x14ac:dyDescent="0.5">
      <c r="A2" s="298"/>
      <c r="B2" s="299"/>
      <c r="C2" s="299"/>
      <c r="D2" s="55"/>
      <c r="E2" s="272"/>
      <c r="F2" s="272"/>
      <c r="G2" s="103"/>
      <c r="H2" s="212"/>
      <c r="I2" s="103"/>
      <c r="J2" s="103"/>
      <c r="K2" s="103"/>
      <c r="L2" s="103"/>
      <c r="M2" s="103"/>
      <c r="N2" s="103"/>
      <c r="O2" s="103"/>
      <c r="R2" s="103"/>
      <c r="S2" s="56"/>
      <c r="T2" s="56"/>
      <c r="U2" s="56"/>
      <c r="V2" s="56"/>
      <c r="W2" s="56"/>
      <c r="X2" s="56"/>
      <c r="Y2" s="56"/>
      <c r="Z2" s="56"/>
      <c r="AC2" s="56"/>
      <c r="AD2" s="56"/>
      <c r="AE2" s="56"/>
      <c r="AF2" s="56"/>
      <c r="AG2" s="56"/>
      <c r="AH2" s="56"/>
      <c r="AI2" s="56"/>
      <c r="AJ2" s="55"/>
      <c r="AK2" s="31"/>
      <c r="AL2" s="56"/>
      <c r="AM2" s="56"/>
      <c r="AN2" s="56"/>
      <c r="AO2" s="56"/>
      <c r="AP2" s="56"/>
      <c r="AQ2" s="56"/>
      <c r="AR2" s="56"/>
      <c r="AS2" s="56"/>
      <c r="AT2" s="55"/>
      <c r="AU2" s="55"/>
      <c r="AV2" s="31"/>
    </row>
    <row r="3" spans="1:49" s="5" customFormat="1" x14ac:dyDescent="0.25">
      <c r="A3" s="10"/>
      <c r="B3" s="10"/>
      <c r="D3" s="14"/>
      <c r="E3" s="282"/>
      <c r="F3" s="275"/>
      <c r="G3" s="275"/>
      <c r="H3" s="279"/>
      <c r="I3" s="259"/>
      <c r="J3" s="245"/>
      <c r="K3" s="240"/>
      <c r="L3" s="240"/>
      <c r="M3" s="36">
        <v>2025</v>
      </c>
      <c r="N3" s="265"/>
      <c r="O3" s="215"/>
      <c r="P3" s="6"/>
      <c r="Q3" s="6"/>
      <c r="R3" s="36"/>
      <c r="S3" s="205"/>
      <c r="T3" s="196"/>
      <c r="U3" s="342">
        <v>2024</v>
      </c>
      <c r="V3" s="343"/>
      <c r="W3" s="343"/>
      <c r="X3" s="344"/>
      <c r="Y3" s="218"/>
      <c r="Z3" s="33"/>
      <c r="AA3" s="6"/>
      <c r="AB3" s="6"/>
      <c r="AC3" s="33"/>
      <c r="AD3" s="33"/>
      <c r="AE3" s="33"/>
      <c r="AF3" s="33"/>
      <c r="AG3" s="33">
        <v>2023</v>
      </c>
      <c r="AH3" s="33"/>
      <c r="AI3" s="33"/>
      <c r="AJ3" s="33"/>
      <c r="AK3" s="33"/>
      <c r="AL3" s="33"/>
      <c r="AM3" s="308">
        <v>2022</v>
      </c>
      <c r="AN3" s="310"/>
      <c r="AO3" s="75"/>
      <c r="AP3" s="75"/>
      <c r="AQ3" s="75"/>
      <c r="AR3" s="75"/>
      <c r="AS3" s="33"/>
      <c r="AT3" s="32"/>
      <c r="AU3" s="32"/>
      <c r="AV3" s="32"/>
    </row>
    <row r="4" spans="1:49" s="5" customFormat="1" ht="107.25" customHeight="1" x14ac:dyDescent="0.25">
      <c r="A4" s="5" t="s">
        <v>1</v>
      </c>
      <c r="B4" s="10" t="s">
        <v>2</v>
      </c>
      <c r="C4" s="5" t="s">
        <v>3</v>
      </c>
      <c r="D4" s="49" t="s">
        <v>1399</v>
      </c>
      <c r="E4" s="281" t="s">
        <v>1398</v>
      </c>
      <c r="F4" s="281" t="s">
        <v>1363</v>
      </c>
      <c r="G4" s="273" t="s">
        <v>5</v>
      </c>
      <c r="H4" s="68"/>
      <c r="I4" s="270" t="s">
        <v>1285</v>
      </c>
      <c r="J4" s="291" t="s">
        <v>1260</v>
      </c>
      <c r="K4" s="249" t="s">
        <v>1208</v>
      </c>
      <c r="L4" s="226" t="s">
        <v>1078</v>
      </c>
      <c r="M4" s="226" t="s">
        <v>4</v>
      </c>
      <c r="N4" s="221" t="s">
        <v>543</v>
      </c>
      <c r="O4" s="119" t="s">
        <v>5</v>
      </c>
      <c r="P4" s="96" t="s">
        <v>1362</v>
      </c>
      <c r="Q4" s="97" t="s">
        <v>541</v>
      </c>
      <c r="R4" s="226"/>
      <c r="S4" s="206" t="s">
        <v>460</v>
      </c>
      <c r="T4" s="197" t="s">
        <v>390</v>
      </c>
      <c r="U4" s="173" t="s">
        <v>227</v>
      </c>
      <c r="V4" s="173" t="s">
        <v>870</v>
      </c>
      <c r="W4" s="147" t="s">
        <v>291</v>
      </c>
      <c r="X4" s="147" t="s">
        <v>4</v>
      </c>
      <c r="Y4" s="221" t="s">
        <v>543</v>
      </c>
      <c r="Z4" s="95" t="s">
        <v>5</v>
      </c>
      <c r="AA4" s="96" t="s">
        <v>1061</v>
      </c>
      <c r="AB4" s="97" t="s">
        <v>541</v>
      </c>
      <c r="AC4" s="140"/>
      <c r="AD4" s="137" t="s">
        <v>390</v>
      </c>
      <c r="AE4" s="105" t="s">
        <v>227</v>
      </c>
      <c r="AF4" s="105" t="s">
        <v>291</v>
      </c>
      <c r="AG4" s="105" t="s">
        <v>4</v>
      </c>
      <c r="AH4" s="105" t="s">
        <v>543</v>
      </c>
      <c r="AI4" s="95" t="s">
        <v>5</v>
      </c>
      <c r="AJ4" s="96" t="s">
        <v>540</v>
      </c>
      <c r="AK4" s="97" t="s">
        <v>541</v>
      </c>
      <c r="AL4" s="42"/>
      <c r="AM4" s="44" t="s">
        <v>4</v>
      </c>
      <c r="AN4" s="59" t="s">
        <v>62</v>
      </c>
      <c r="AO4" s="73" t="s">
        <v>227</v>
      </c>
      <c r="AP4" s="79" t="s">
        <v>291</v>
      </c>
      <c r="AQ4" s="111" t="s">
        <v>390</v>
      </c>
      <c r="AR4" s="93" t="s">
        <v>460</v>
      </c>
      <c r="AS4" s="33" t="s">
        <v>34</v>
      </c>
      <c r="AT4" s="95" t="s">
        <v>5</v>
      </c>
      <c r="AU4" s="96" t="s">
        <v>540</v>
      </c>
      <c r="AV4" s="97" t="s">
        <v>541</v>
      </c>
    </row>
    <row r="5" spans="1:49" x14ac:dyDescent="0.25">
      <c r="A5" s="319" t="s">
        <v>13</v>
      </c>
      <c r="B5" s="321"/>
      <c r="C5" s="322"/>
      <c r="D5" s="23"/>
      <c r="H5" s="280"/>
      <c r="O5" s="120"/>
      <c r="P5" s="96"/>
      <c r="Q5" s="97"/>
      <c r="S5" s="200"/>
      <c r="T5" s="191"/>
      <c r="U5" s="182"/>
      <c r="V5" s="166"/>
      <c r="W5" s="160"/>
      <c r="X5" s="141"/>
      <c r="Y5" s="213"/>
      <c r="Z5" s="123"/>
      <c r="AA5" s="96"/>
      <c r="AB5" s="97"/>
      <c r="AC5" s="141"/>
      <c r="AD5" s="135"/>
      <c r="AE5" s="131"/>
      <c r="AF5" s="114"/>
      <c r="AG5" s="112"/>
      <c r="AH5" s="91"/>
      <c r="AI5" s="123"/>
      <c r="AJ5" s="96"/>
      <c r="AK5" s="97"/>
      <c r="AL5" s="91"/>
      <c r="AM5" s="34"/>
      <c r="AN5" s="37"/>
      <c r="AO5" s="57"/>
      <c r="AP5" s="69"/>
      <c r="AQ5" s="91"/>
      <c r="AR5" s="88"/>
      <c r="AS5" s="34"/>
      <c r="AT5" s="95"/>
      <c r="AU5" s="96"/>
      <c r="AV5" s="97"/>
    </row>
    <row r="6" spans="1:49" x14ac:dyDescent="0.25">
      <c r="A6" s="51" t="s">
        <v>368</v>
      </c>
      <c r="B6" s="51" t="s">
        <v>0</v>
      </c>
      <c r="C6" s="52">
        <v>2007</v>
      </c>
      <c r="D6" s="2">
        <f>Q6+F6+E6</f>
        <v>293</v>
      </c>
      <c r="H6" s="280"/>
      <c r="N6" s="267">
        <f>AB6</f>
        <v>293</v>
      </c>
      <c r="O6" s="120"/>
      <c r="P6" s="96">
        <f>I6+J6+K6+L6+M6+N6</f>
        <v>293</v>
      </c>
      <c r="Q6" s="97">
        <f>IF(C6=2009, P6/3,P6)+O6</f>
        <v>293</v>
      </c>
      <c r="S6" s="108"/>
      <c r="T6" s="108"/>
      <c r="U6" s="108"/>
      <c r="V6" s="108">
        <f>0+3</f>
        <v>3</v>
      </c>
      <c r="W6" s="108">
        <f>0</f>
        <v>0</v>
      </c>
      <c r="X6" s="108">
        <f>0+3</f>
        <v>3</v>
      </c>
      <c r="Y6" s="108">
        <f>AK6</f>
        <v>287</v>
      </c>
      <c r="Z6" s="122"/>
      <c r="AA6" s="96">
        <f>S6+T6+U6+V6+W6+X6+Y6</f>
        <v>293</v>
      </c>
      <c r="AB6" s="97">
        <f>IF(C6=2008, AA6/3,AA6)+Z6</f>
        <v>293</v>
      </c>
      <c r="AC6" s="141"/>
      <c r="AD6" s="108">
        <f>3</f>
        <v>3</v>
      </c>
      <c r="AE6" s="108">
        <f>0</f>
        <v>0</v>
      </c>
      <c r="AF6" s="108">
        <f>9</f>
        <v>9</v>
      </c>
      <c r="AG6" s="108"/>
      <c r="AH6" s="108">
        <f>AV6</f>
        <v>275</v>
      </c>
      <c r="AI6" s="122"/>
      <c r="AJ6" s="96">
        <f>SUM(AD6:AH6)</f>
        <v>287</v>
      </c>
      <c r="AK6" s="97">
        <f>IF(C6=2011, AJ6/3,AJ6)+AI6</f>
        <v>287</v>
      </c>
      <c r="AL6" s="91"/>
      <c r="AM6" s="69"/>
      <c r="AN6" s="69"/>
      <c r="AO6" s="69"/>
      <c r="AP6" s="50">
        <f>6</f>
        <v>6</v>
      </c>
      <c r="AQ6" s="50">
        <f>0+6</f>
        <v>6</v>
      </c>
      <c r="AR6" s="50">
        <f>3+3</f>
        <v>6</v>
      </c>
      <c r="AS6" s="50">
        <f>257</f>
        <v>257</v>
      </c>
      <c r="AT6" s="95"/>
      <c r="AU6" s="96">
        <f>SUM(AM6:AS6)</f>
        <v>275</v>
      </c>
      <c r="AV6" s="97">
        <f>IF(C6=2010, AU6/3,AU6)+AT6</f>
        <v>275</v>
      </c>
    </row>
    <row r="7" spans="1:49" x14ac:dyDescent="0.25">
      <c r="A7" s="60" t="s">
        <v>635</v>
      </c>
      <c r="B7" s="60" t="s">
        <v>6</v>
      </c>
      <c r="C7" s="129">
        <v>2004</v>
      </c>
      <c r="D7" s="2">
        <f t="shared" ref="D7:D8" si="0">Q7+F7+E7</f>
        <v>917</v>
      </c>
      <c r="H7" s="280"/>
      <c r="N7" s="267">
        <f t="shared" ref="N7:N36" si="1">AB7</f>
        <v>917</v>
      </c>
      <c r="O7" s="152"/>
      <c r="P7" s="96">
        <f t="shared" ref="P7:P36" si="2">I7+J7+K7+L7+M7+N7</f>
        <v>917</v>
      </c>
      <c r="Q7" s="97">
        <f t="shared" ref="Q7:Q36" si="3">IF(C7=2009, P7/3,P7)+O7</f>
        <v>917</v>
      </c>
      <c r="S7" s="200"/>
      <c r="T7" s="191"/>
      <c r="U7" s="182"/>
      <c r="V7" s="166"/>
      <c r="W7" s="160"/>
      <c r="X7" s="141"/>
      <c r="Y7" s="108">
        <f t="shared" ref="Y7:Y36" si="4">AK7</f>
        <v>917</v>
      </c>
      <c r="Z7" s="123"/>
      <c r="AA7" s="96">
        <f t="shared" ref="AA7:AA36" si="5">S7+T7+U7+V7+W7+X7+Y7</f>
        <v>917</v>
      </c>
      <c r="AB7" s="97">
        <f t="shared" ref="AB7:AB36" si="6">IF(C7=2008, AA7/3,AA7)+Z7</f>
        <v>917</v>
      </c>
      <c r="AC7" s="141"/>
      <c r="AD7" s="135"/>
      <c r="AE7" s="131"/>
      <c r="AF7" s="114">
        <f>9</f>
        <v>9</v>
      </c>
      <c r="AG7" s="114"/>
      <c r="AH7" s="108">
        <v>908</v>
      </c>
      <c r="AI7" s="123"/>
      <c r="AJ7" s="96">
        <f>SUM(AD7:AH7)</f>
        <v>917</v>
      </c>
      <c r="AK7" s="97">
        <f>IF(C7=2007, AJ7/3,AJ7)+AI7</f>
        <v>917</v>
      </c>
      <c r="AL7" s="114"/>
      <c r="AM7" s="114"/>
      <c r="AN7" s="114"/>
      <c r="AO7" s="114"/>
      <c r="AP7" s="114"/>
      <c r="AQ7" s="114"/>
      <c r="AR7" s="114"/>
      <c r="AS7" s="114"/>
      <c r="AT7" s="95"/>
      <c r="AU7" s="96"/>
      <c r="AV7" s="97"/>
    </row>
    <row r="8" spans="1:49" x14ac:dyDescent="0.25">
      <c r="A8" s="126" t="s">
        <v>857</v>
      </c>
      <c r="B8" s="162" t="s">
        <v>6</v>
      </c>
      <c r="C8" s="163">
        <v>2006</v>
      </c>
      <c r="D8" s="2">
        <f t="shared" si="0"/>
        <v>208</v>
      </c>
      <c r="H8" s="280"/>
      <c r="N8" s="267">
        <f t="shared" si="1"/>
        <v>208</v>
      </c>
      <c r="O8" s="152"/>
      <c r="P8" s="96">
        <f t="shared" si="2"/>
        <v>208</v>
      </c>
      <c r="Q8" s="97">
        <f t="shared" si="3"/>
        <v>208</v>
      </c>
      <c r="S8" s="108"/>
      <c r="T8" s="108"/>
      <c r="U8" s="108"/>
      <c r="V8" s="108">
        <f>6</f>
        <v>6</v>
      </c>
      <c r="W8" s="108">
        <f>6+12+12</f>
        <v>30</v>
      </c>
      <c r="X8" s="160"/>
      <c r="Y8" s="108">
        <f>AK8</f>
        <v>172</v>
      </c>
      <c r="Z8" s="123"/>
      <c r="AA8" s="96">
        <f>S8+T8+U8+V8+W8+X8+Y8</f>
        <v>208</v>
      </c>
      <c r="AB8" s="97">
        <f>IF(C8=2008, AA8/3,AA8)+Z8</f>
        <v>208</v>
      </c>
      <c r="AC8" s="160"/>
      <c r="AD8" s="160"/>
      <c r="AE8" s="160"/>
      <c r="AF8" s="160"/>
      <c r="AG8" s="160"/>
      <c r="AH8" s="108"/>
      <c r="AI8" s="123"/>
      <c r="AJ8" s="96">
        <v>172</v>
      </c>
      <c r="AK8" s="97">
        <f>IF(C8=2007, AJ8/3,AJ8)+AI8</f>
        <v>172</v>
      </c>
      <c r="AL8" s="160"/>
      <c r="AM8" s="160"/>
      <c r="AN8" s="160"/>
      <c r="AO8" s="160"/>
      <c r="AP8" s="160"/>
      <c r="AQ8" s="160"/>
      <c r="AR8" s="160"/>
      <c r="AS8" s="160"/>
      <c r="AT8" s="95"/>
      <c r="AU8" s="96">
        <v>516</v>
      </c>
      <c r="AV8" s="97">
        <f>IF(C8=2006, AU8/3,AU8)+AT8</f>
        <v>172</v>
      </c>
    </row>
    <row r="9" spans="1:49" s="17" customFormat="1" x14ac:dyDescent="0.25">
      <c r="A9" s="304" t="s">
        <v>14</v>
      </c>
      <c r="B9" s="305"/>
      <c r="C9" s="306"/>
      <c r="D9" s="2"/>
      <c r="E9" s="283"/>
      <c r="F9" s="278"/>
      <c r="G9" s="120"/>
      <c r="H9" s="280"/>
      <c r="I9" s="261"/>
      <c r="J9" s="246"/>
      <c r="K9" s="241"/>
      <c r="L9" s="241"/>
      <c r="M9" s="215"/>
      <c r="N9" s="267">
        <f t="shared" si="1"/>
        <v>0</v>
      </c>
      <c r="O9" s="120"/>
      <c r="P9" s="96">
        <f t="shared" si="2"/>
        <v>0</v>
      </c>
      <c r="Q9" s="97">
        <f t="shared" si="3"/>
        <v>0</v>
      </c>
      <c r="R9" s="215"/>
      <c r="S9" s="200"/>
      <c r="T9" s="191"/>
      <c r="U9" s="182"/>
      <c r="V9" s="166"/>
      <c r="W9" s="160"/>
      <c r="X9" s="141"/>
      <c r="Y9" s="108">
        <f t="shared" si="4"/>
        <v>0</v>
      </c>
      <c r="Z9" s="146"/>
      <c r="AA9" s="96">
        <f t="shared" si="5"/>
        <v>0</v>
      </c>
      <c r="AB9" s="97">
        <f t="shared" si="6"/>
        <v>0</v>
      </c>
      <c r="AC9" s="141"/>
      <c r="AD9" s="135"/>
      <c r="AE9" s="131"/>
      <c r="AF9" s="114"/>
      <c r="AG9" s="112"/>
      <c r="AH9" s="91"/>
      <c r="AI9" s="141"/>
      <c r="AJ9" s="68"/>
      <c r="AK9" s="68"/>
      <c r="AL9" s="91"/>
      <c r="AM9" s="34"/>
      <c r="AN9" s="37"/>
      <c r="AO9" s="57"/>
      <c r="AP9" s="69"/>
      <c r="AQ9" s="91"/>
      <c r="AR9" s="88"/>
      <c r="AS9" s="34"/>
      <c r="AT9" s="95"/>
      <c r="AU9" s="96"/>
      <c r="AV9" s="97">
        <f t="shared" ref="AV9" si="7">IF(C9=2010, AU9/3,AU9)+AT9</f>
        <v>0</v>
      </c>
    </row>
    <row r="10" spans="1:49" x14ac:dyDescent="0.25">
      <c r="A10" s="60" t="s">
        <v>1057</v>
      </c>
      <c r="B10" s="61" t="s">
        <v>86</v>
      </c>
      <c r="C10" s="62">
        <v>2005</v>
      </c>
      <c r="D10" s="2">
        <f t="shared" ref="D10:D35" si="8">Q10+F10+E10</f>
        <v>2</v>
      </c>
      <c r="E10" s="287"/>
      <c r="F10" s="287"/>
      <c r="H10" s="280"/>
      <c r="I10" s="287"/>
      <c r="J10" s="287"/>
      <c r="K10" s="287"/>
      <c r="L10" s="287"/>
      <c r="M10" s="287"/>
      <c r="N10" s="267">
        <f t="shared" ref="N10:N34" si="9">AB10</f>
        <v>2</v>
      </c>
      <c r="O10" s="152"/>
      <c r="P10" s="96">
        <f t="shared" ref="P10:P34" si="10">I10+J10+K10+L10+M10+N10</f>
        <v>2</v>
      </c>
      <c r="Q10" s="97">
        <f t="shared" ref="Q10:Q34" si="11">IF(C10=2009, P10/3,P10)+O10</f>
        <v>2</v>
      </c>
      <c r="R10" s="287"/>
      <c r="S10" s="108">
        <f>2</f>
        <v>2</v>
      </c>
      <c r="T10" s="108"/>
      <c r="U10" s="108"/>
      <c r="V10" s="108"/>
      <c r="W10" s="108"/>
      <c r="X10" s="108"/>
      <c r="Y10" s="108">
        <f>AK10</f>
        <v>0</v>
      </c>
      <c r="Z10" s="108"/>
      <c r="AA10" s="96">
        <f>S10+T10+U10+V10+W10+X10+Y10</f>
        <v>2</v>
      </c>
      <c r="AB10" s="97">
        <f>IF(C10=2008, AA10/3,AA10)+Z10</f>
        <v>2</v>
      </c>
      <c r="AC10" s="141"/>
      <c r="AD10" s="108"/>
      <c r="AE10" s="108"/>
      <c r="AF10" s="108"/>
      <c r="AG10" s="108"/>
      <c r="AH10" s="108"/>
      <c r="AI10" s="108"/>
      <c r="AJ10" s="68"/>
      <c r="AK10" s="68"/>
      <c r="AL10" s="91"/>
      <c r="AM10" s="112"/>
      <c r="AN10" s="286"/>
      <c r="AO10" s="286"/>
      <c r="AP10" s="286"/>
      <c r="AQ10" s="286"/>
      <c r="AR10" s="286"/>
      <c r="AS10" s="112"/>
      <c r="AT10" s="95"/>
      <c r="AU10" s="96"/>
      <c r="AV10" s="97"/>
      <c r="AW10" s="17"/>
    </row>
    <row r="11" spans="1:49" s="17" customFormat="1" x14ac:dyDescent="0.25">
      <c r="A11" s="60" t="s">
        <v>1058</v>
      </c>
      <c r="B11" s="61" t="s">
        <v>86</v>
      </c>
      <c r="C11" s="62">
        <v>2007</v>
      </c>
      <c r="D11" s="2">
        <f t="shared" si="8"/>
        <v>0</v>
      </c>
      <c r="E11" s="283"/>
      <c r="F11" s="278"/>
      <c r="G11" s="120"/>
      <c r="H11" s="280"/>
      <c r="I11" s="261"/>
      <c r="J11" s="246"/>
      <c r="K11" s="241"/>
      <c r="L11" s="228"/>
      <c r="M11" s="215"/>
      <c r="N11" s="267">
        <f t="shared" si="9"/>
        <v>0</v>
      </c>
      <c r="O11" s="120"/>
      <c r="P11" s="96">
        <f t="shared" si="10"/>
        <v>0</v>
      </c>
      <c r="Q11" s="97">
        <f t="shared" si="11"/>
        <v>0</v>
      </c>
      <c r="R11" s="215"/>
      <c r="S11" s="108">
        <f>0</f>
        <v>0</v>
      </c>
      <c r="T11" s="108"/>
      <c r="U11" s="108"/>
      <c r="V11" s="108"/>
      <c r="W11" s="108"/>
      <c r="X11" s="108"/>
      <c r="Y11" s="108">
        <f>AK11</f>
        <v>0</v>
      </c>
      <c r="Z11" s="108"/>
      <c r="AA11" s="96">
        <f>S11+T11+U11+V11+W11+X11+Y11</f>
        <v>0</v>
      </c>
      <c r="AB11" s="97">
        <f>IF(C11=2008, AA11/3,AA11)+Z11</f>
        <v>0</v>
      </c>
      <c r="AC11" s="141"/>
      <c r="AD11" s="108"/>
      <c r="AE11" s="108"/>
      <c r="AF11" s="108"/>
      <c r="AG11" s="108"/>
      <c r="AH11" s="108"/>
      <c r="AI11" s="108"/>
      <c r="AJ11" s="68"/>
      <c r="AK11" s="68"/>
      <c r="AL11" s="91"/>
      <c r="AM11" s="260"/>
      <c r="AN11" s="260"/>
      <c r="AO11" s="260"/>
      <c r="AP11" s="286"/>
      <c r="AQ11" s="286"/>
      <c r="AR11" s="286"/>
      <c r="AS11" s="260"/>
      <c r="AT11" s="95"/>
      <c r="AU11" s="96"/>
      <c r="AV11" s="97"/>
    </row>
    <row r="12" spans="1:49" s="17" customFormat="1" x14ac:dyDescent="0.25">
      <c r="A12" s="60" t="s">
        <v>201</v>
      </c>
      <c r="B12" s="61" t="s">
        <v>87</v>
      </c>
      <c r="C12" s="62">
        <v>2009</v>
      </c>
      <c r="D12" s="2">
        <f t="shared" si="8"/>
        <v>4</v>
      </c>
      <c r="E12" s="154"/>
      <c r="F12" s="154"/>
      <c r="G12" s="120"/>
      <c r="H12" s="280"/>
      <c r="I12" s="156"/>
      <c r="J12" s="156"/>
      <c r="K12" s="156"/>
      <c r="L12" s="156"/>
      <c r="M12" s="156"/>
      <c r="N12" s="267">
        <f t="shared" si="9"/>
        <v>12</v>
      </c>
      <c r="O12" s="120"/>
      <c r="P12" s="96">
        <f t="shared" si="10"/>
        <v>12</v>
      </c>
      <c r="Q12" s="97">
        <f t="shared" si="11"/>
        <v>4</v>
      </c>
      <c r="R12" s="156"/>
      <c r="S12" s="108"/>
      <c r="T12" s="108"/>
      <c r="U12" s="108"/>
      <c r="V12" s="108"/>
      <c r="W12" s="108"/>
      <c r="X12" s="108"/>
      <c r="Y12" s="108">
        <f>AK12</f>
        <v>12</v>
      </c>
      <c r="Z12" s="122"/>
      <c r="AA12" s="96">
        <f>S12+T12+U12+V12+W12+X12+Y12</f>
        <v>12</v>
      </c>
      <c r="AB12" s="97">
        <f>IF(C12=2012, AA12/3,AA12)+Z12</f>
        <v>12</v>
      </c>
      <c r="AC12" s="141"/>
      <c r="AD12" s="108"/>
      <c r="AE12" s="108"/>
      <c r="AF12" s="108"/>
      <c r="AG12" s="108"/>
      <c r="AH12" s="108">
        <f>AV12</f>
        <v>12</v>
      </c>
      <c r="AI12" s="122"/>
      <c r="AJ12" s="96">
        <f>SUM(AD12:AH12)</f>
        <v>12</v>
      </c>
      <c r="AK12" s="97">
        <f>IF(C12=2011, AJ12/3,AJ12)+AI12</f>
        <v>12</v>
      </c>
      <c r="AL12" s="91"/>
      <c r="AM12" s="69"/>
      <c r="AN12" s="287">
        <f>6+6</f>
        <v>12</v>
      </c>
      <c r="AO12" s="287"/>
      <c r="AP12" s="287"/>
      <c r="AQ12" s="287"/>
      <c r="AR12" s="287"/>
      <c r="AS12" s="286"/>
      <c r="AT12" s="95"/>
      <c r="AU12" s="96">
        <f>SUM(AM12:AS12)</f>
        <v>12</v>
      </c>
      <c r="AV12" s="97">
        <f>IF(C12=2010, AU12/3,AU12)+AT12</f>
        <v>12</v>
      </c>
      <c r="AW12" s="3"/>
    </row>
    <row r="13" spans="1:49" x14ac:dyDescent="0.25">
      <c r="A13" s="11" t="s">
        <v>1189</v>
      </c>
      <c r="B13" s="11" t="s">
        <v>87</v>
      </c>
      <c r="C13" s="3">
        <v>2009</v>
      </c>
      <c r="D13" s="2">
        <f t="shared" si="8"/>
        <v>14</v>
      </c>
      <c r="E13" s="287"/>
      <c r="F13" s="287"/>
      <c r="H13" s="280"/>
      <c r="I13" s="287"/>
      <c r="J13" s="287"/>
      <c r="K13" s="287"/>
      <c r="L13" s="287">
        <f>42</f>
        <v>42</v>
      </c>
      <c r="M13" s="287"/>
      <c r="N13" s="267">
        <f t="shared" si="9"/>
        <v>0</v>
      </c>
      <c r="O13" s="152"/>
      <c r="P13" s="96">
        <f t="shared" si="10"/>
        <v>42</v>
      </c>
      <c r="Q13" s="97">
        <f t="shared" si="11"/>
        <v>14</v>
      </c>
      <c r="R13" s="287"/>
      <c r="S13" s="108"/>
      <c r="T13" s="108"/>
      <c r="U13" s="108"/>
      <c r="V13" s="108"/>
      <c r="W13" s="108"/>
      <c r="X13" s="108"/>
      <c r="Y13" s="108"/>
      <c r="Z13" s="108"/>
      <c r="AA13" s="96"/>
      <c r="AB13" s="97"/>
      <c r="AC13" s="286"/>
      <c r="AD13" s="108"/>
      <c r="AE13" s="108"/>
      <c r="AF13" s="108"/>
      <c r="AG13" s="108"/>
      <c r="AH13" s="108"/>
      <c r="AI13" s="108"/>
      <c r="AJ13" s="68"/>
      <c r="AK13" s="68"/>
      <c r="AL13" s="286"/>
      <c r="AM13" s="286"/>
      <c r="AN13" s="286"/>
      <c r="AO13" s="286"/>
      <c r="AP13" s="286"/>
      <c r="AQ13" s="286"/>
      <c r="AR13" s="286"/>
      <c r="AS13" s="286"/>
      <c r="AT13" s="68"/>
      <c r="AU13" s="68"/>
      <c r="AV13" s="68"/>
      <c r="AW13" s="17"/>
    </row>
    <row r="14" spans="1:49" x14ac:dyDescent="0.25">
      <c r="A14" s="51" t="s">
        <v>370</v>
      </c>
      <c r="B14" s="51" t="s">
        <v>231</v>
      </c>
      <c r="C14" s="52">
        <v>2009</v>
      </c>
      <c r="D14" s="2">
        <f t="shared" si="8"/>
        <v>9.6666666666666661</v>
      </c>
      <c r="H14" s="280"/>
      <c r="N14" s="267">
        <f t="shared" si="9"/>
        <v>29</v>
      </c>
      <c r="O14" s="120"/>
      <c r="P14" s="96">
        <f t="shared" si="10"/>
        <v>29</v>
      </c>
      <c r="Q14" s="97">
        <f t="shared" si="11"/>
        <v>9.6666666666666661</v>
      </c>
      <c r="S14" s="108"/>
      <c r="T14" s="108"/>
      <c r="U14" s="108"/>
      <c r="V14" s="108"/>
      <c r="W14" s="108"/>
      <c r="X14" s="108"/>
      <c r="Y14" s="108">
        <f>AK14</f>
        <v>29</v>
      </c>
      <c r="Z14" s="122"/>
      <c r="AA14" s="96">
        <f>S14+T14+U14+V14+W14+X14+Y14</f>
        <v>29</v>
      </c>
      <c r="AB14" s="97">
        <f>IF(C14=2012, AA14/3,AA14)+Z14</f>
        <v>29</v>
      </c>
      <c r="AC14" s="286"/>
      <c r="AD14" s="108"/>
      <c r="AE14" s="108"/>
      <c r="AF14" s="108"/>
      <c r="AG14" s="108"/>
      <c r="AH14" s="108">
        <f>AV14</f>
        <v>29</v>
      </c>
      <c r="AI14" s="122"/>
      <c r="AJ14" s="96">
        <f>SUM(AD14:AH14)</f>
        <v>29</v>
      </c>
      <c r="AK14" s="97">
        <f>IF(C14=2011, AJ14/3,AJ14)+AI14</f>
        <v>29</v>
      </c>
      <c r="AL14" s="286"/>
      <c r="AM14" s="286"/>
      <c r="AN14" s="286"/>
      <c r="AO14" s="286"/>
      <c r="AP14" s="287">
        <f>29</f>
        <v>29</v>
      </c>
      <c r="AQ14" s="287"/>
      <c r="AR14" s="287"/>
      <c r="AS14" s="286"/>
      <c r="AT14" s="95"/>
      <c r="AU14" s="96">
        <f>SUM(AM14:AS14)</f>
        <v>29</v>
      </c>
      <c r="AV14" s="97">
        <f>IF(C14=2010, AU14/3,AU14)+AT14</f>
        <v>29</v>
      </c>
      <c r="AW14" s="17"/>
    </row>
    <row r="15" spans="1:49" x14ac:dyDescent="0.25">
      <c r="A15" s="11" t="s">
        <v>1195</v>
      </c>
      <c r="B15" s="61" t="s">
        <v>87</v>
      </c>
      <c r="C15" s="3">
        <v>2003</v>
      </c>
      <c r="D15" s="2">
        <f t="shared" si="8"/>
        <v>27</v>
      </c>
      <c r="H15" s="290"/>
      <c r="L15" s="228"/>
      <c r="M15" s="215">
        <f>27</f>
        <v>27</v>
      </c>
      <c r="N15" s="267">
        <f t="shared" si="9"/>
        <v>0</v>
      </c>
      <c r="O15" s="120"/>
      <c r="P15" s="96">
        <f t="shared" si="10"/>
        <v>27</v>
      </c>
      <c r="Q15" s="97">
        <f t="shared" si="11"/>
        <v>27</v>
      </c>
      <c r="AA15" s="17"/>
      <c r="AB15" s="17"/>
      <c r="AJ15" s="17"/>
      <c r="AK15" s="17"/>
      <c r="AT15" s="17"/>
      <c r="AU15" s="17"/>
      <c r="AV15" s="17"/>
    </row>
    <row r="16" spans="1:49" x14ac:dyDescent="0.25">
      <c r="A16" s="60" t="s">
        <v>371</v>
      </c>
      <c r="B16" s="61" t="s">
        <v>372</v>
      </c>
      <c r="C16" s="62">
        <v>2005</v>
      </c>
      <c r="D16" s="2">
        <f t="shared" si="8"/>
        <v>41</v>
      </c>
      <c r="H16" s="280"/>
      <c r="L16" s="228"/>
      <c r="N16" s="267">
        <f t="shared" si="9"/>
        <v>41</v>
      </c>
      <c r="O16" s="152"/>
      <c r="P16" s="96">
        <f t="shared" si="10"/>
        <v>41</v>
      </c>
      <c r="Q16" s="97">
        <f t="shared" si="11"/>
        <v>41</v>
      </c>
      <c r="S16" s="108"/>
      <c r="T16" s="108"/>
      <c r="U16" s="108"/>
      <c r="V16" s="108"/>
      <c r="W16" s="108"/>
      <c r="X16" s="108"/>
      <c r="Y16" s="108">
        <f>AK16</f>
        <v>41</v>
      </c>
      <c r="Z16" s="122"/>
      <c r="AA16" s="96">
        <f>S16+T16+U16+V16+W16+X16+Y16</f>
        <v>41</v>
      </c>
      <c r="AB16" s="97">
        <f>IF(C16=2008, AA16/3,AA16)+Z16</f>
        <v>41</v>
      </c>
      <c r="AC16" s="286"/>
      <c r="AD16" s="108"/>
      <c r="AE16" s="108"/>
      <c r="AF16" s="108"/>
      <c r="AG16" s="108"/>
      <c r="AH16" s="108">
        <f>AV16</f>
        <v>41</v>
      </c>
      <c r="AI16" s="122"/>
      <c r="AJ16" s="96">
        <f>SUM(AD16:AH16)</f>
        <v>41</v>
      </c>
      <c r="AK16" s="97">
        <f>IF(C16=2007, AJ16/3,AJ16)+AI16</f>
        <v>41</v>
      </c>
      <c r="AL16" s="286"/>
      <c r="AM16" s="286"/>
      <c r="AN16" s="80"/>
      <c r="AO16" s="80"/>
      <c r="AP16" s="80">
        <f>4</f>
        <v>4</v>
      </c>
      <c r="AQ16" s="80"/>
      <c r="AR16" s="80"/>
      <c r="AS16" s="80">
        <f>37</f>
        <v>37</v>
      </c>
      <c r="AT16" s="95"/>
      <c r="AU16" s="96">
        <f>SUM(AM16:AS16)</f>
        <v>41</v>
      </c>
      <c r="AV16" s="97">
        <f>IF(C16=2006, AU16/3,AU16)+AT16</f>
        <v>41</v>
      </c>
      <c r="AW16" s="17"/>
    </row>
    <row r="17" spans="1:49" x14ac:dyDescent="0.25">
      <c r="A17" s="60" t="s">
        <v>222</v>
      </c>
      <c r="B17" s="61" t="s">
        <v>87</v>
      </c>
      <c r="C17" s="62">
        <v>2005</v>
      </c>
      <c r="D17" s="2">
        <f t="shared" si="8"/>
        <v>3</v>
      </c>
      <c r="I17" s="287"/>
      <c r="J17" s="287"/>
      <c r="K17" s="287"/>
      <c r="L17" s="287"/>
      <c r="M17" s="287">
        <f>0</f>
        <v>0</v>
      </c>
      <c r="N17" s="267">
        <f t="shared" si="9"/>
        <v>3</v>
      </c>
      <c r="O17" s="120"/>
      <c r="P17" s="96">
        <f t="shared" si="10"/>
        <v>3</v>
      </c>
      <c r="Q17" s="97">
        <f t="shared" si="11"/>
        <v>3</v>
      </c>
      <c r="R17" s="287"/>
      <c r="S17" s="108"/>
      <c r="T17" s="108"/>
      <c r="U17" s="108"/>
      <c r="V17" s="108"/>
      <c r="W17" s="108"/>
      <c r="X17" s="108"/>
      <c r="Y17" s="108">
        <f>AK17</f>
        <v>3</v>
      </c>
      <c r="Z17" s="122"/>
      <c r="AA17" s="96">
        <f>S17+T17+U17+V17+W17+X17+Y17</f>
        <v>3</v>
      </c>
      <c r="AB17" s="97">
        <f>IF(C17=2008, AA17/3,AA17)+Z17</f>
        <v>3</v>
      </c>
      <c r="AC17" s="286"/>
      <c r="AD17" s="108"/>
      <c r="AE17" s="108"/>
      <c r="AF17" s="108"/>
      <c r="AG17" s="108"/>
      <c r="AH17" s="108">
        <f>AV17</f>
        <v>3</v>
      </c>
      <c r="AI17" s="122"/>
      <c r="AJ17" s="96">
        <f>SUM(AD17:AH17)</f>
        <v>3</v>
      </c>
      <c r="AK17" s="97">
        <f>IF(C17=2007, AJ17/3,AJ17)+AI17</f>
        <v>3</v>
      </c>
      <c r="AL17" s="286"/>
      <c r="AM17" s="286"/>
      <c r="AN17" s="80">
        <v>3</v>
      </c>
      <c r="AO17" s="80"/>
      <c r="AP17" s="80"/>
      <c r="AQ17" s="80"/>
      <c r="AR17" s="80"/>
      <c r="AS17" s="80"/>
      <c r="AT17" s="95"/>
      <c r="AU17" s="96">
        <f>SUM(AM17:AS17)</f>
        <v>3</v>
      </c>
      <c r="AV17" s="97">
        <f>IF(C17=2006, AU17/3,AU17)+AT17</f>
        <v>3</v>
      </c>
    </row>
    <row r="18" spans="1:49" x14ac:dyDescent="0.25">
      <c r="A18" s="60" t="s">
        <v>1190</v>
      </c>
      <c r="B18" s="61" t="s">
        <v>87</v>
      </c>
      <c r="C18" s="62">
        <v>2008</v>
      </c>
      <c r="D18" s="2">
        <f t="shared" si="8"/>
        <v>36</v>
      </c>
      <c r="H18" s="280"/>
      <c r="I18" s="287"/>
      <c r="J18" s="287"/>
      <c r="K18" s="287"/>
      <c r="L18" s="287"/>
      <c r="M18" s="287">
        <f>36</f>
        <v>36</v>
      </c>
      <c r="N18" s="267">
        <f t="shared" si="9"/>
        <v>0</v>
      </c>
      <c r="O18" s="120"/>
      <c r="P18" s="96">
        <f t="shared" si="10"/>
        <v>36</v>
      </c>
      <c r="Q18" s="97">
        <f t="shared" si="11"/>
        <v>36</v>
      </c>
      <c r="R18" s="287"/>
      <c r="S18" s="108"/>
      <c r="T18" s="108"/>
      <c r="U18" s="108"/>
      <c r="V18" s="108"/>
      <c r="W18" s="108"/>
      <c r="X18" s="108"/>
      <c r="Y18" s="108"/>
      <c r="Z18" s="122"/>
      <c r="AA18" s="96"/>
      <c r="AB18" s="97"/>
      <c r="AC18" s="141"/>
      <c r="AD18" s="108"/>
      <c r="AE18" s="108"/>
      <c r="AF18" s="108"/>
      <c r="AG18" s="108"/>
      <c r="AH18" s="108"/>
      <c r="AI18" s="122"/>
      <c r="AJ18" s="96"/>
      <c r="AK18" s="97"/>
      <c r="AL18" s="114"/>
      <c r="AM18" s="114"/>
      <c r="AN18" s="80"/>
      <c r="AO18" s="80"/>
      <c r="AP18" s="80"/>
      <c r="AQ18" s="80"/>
      <c r="AR18" s="80"/>
      <c r="AS18" s="80"/>
      <c r="AT18" s="95"/>
      <c r="AU18" s="96"/>
      <c r="AV18" s="97"/>
    </row>
    <row r="19" spans="1:49" x14ac:dyDescent="0.25">
      <c r="A19" s="11" t="s">
        <v>1196</v>
      </c>
      <c r="B19" s="61" t="s">
        <v>87</v>
      </c>
      <c r="C19" s="3">
        <v>2007</v>
      </c>
      <c r="D19" s="2">
        <f t="shared" si="8"/>
        <v>27</v>
      </c>
      <c r="H19" s="280"/>
      <c r="M19" s="215">
        <f>27</f>
        <v>27</v>
      </c>
      <c r="N19" s="267">
        <f t="shared" si="9"/>
        <v>0</v>
      </c>
      <c r="O19" s="120"/>
      <c r="P19" s="96">
        <f t="shared" si="10"/>
        <v>27</v>
      </c>
      <c r="Q19" s="97">
        <f t="shared" si="11"/>
        <v>27</v>
      </c>
      <c r="AA19" s="17"/>
      <c r="AB19" s="17"/>
      <c r="AJ19" s="17"/>
      <c r="AK19" s="17"/>
      <c r="AT19" s="17"/>
      <c r="AU19" s="17"/>
      <c r="AV19" s="17"/>
    </row>
    <row r="20" spans="1:49" x14ac:dyDescent="0.25">
      <c r="A20" s="60" t="s">
        <v>207</v>
      </c>
      <c r="B20" s="61" t="s">
        <v>86</v>
      </c>
      <c r="C20" s="62">
        <v>2007</v>
      </c>
      <c r="D20" s="2">
        <f t="shared" si="8"/>
        <v>0</v>
      </c>
      <c r="E20" s="156"/>
      <c r="F20" s="156"/>
      <c r="H20" s="280"/>
      <c r="I20" s="154"/>
      <c r="J20" s="154"/>
      <c r="K20" s="154"/>
      <c r="L20" s="154"/>
      <c r="M20" s="154"/>
      <c r="N20" s="267">
        <f t="shared" si="9"/>
        <v>0</v>
      </c>
      <c r="O20" s="152"/>
      <c r="P20" s="96">
        <f t="shared" si="10"/>
        <v>0</v>
      </c>
      <c r="Q20" s="97">
        <f t="shared" si="11"/>
        <v>0</v>
      </c>
      <c r="R20" s="154"/>
      <c r="S20" s="108"/>
      <c r="T20" s="108"/>
      <c r="U20" s="108"/>
      <c r="V20" s="108"/>
      <c r="W20" s="108"/>
      <c r="X20" s="108"/>
      <c r="Y20" s="108">
        <f>AK20</f>
        <v>0</v>
      </c>
      <c r="Z20" s="122"/>
      <c r="AA20" s="96">
        <f>S20+T20+U20+V20+W20+X20+Y20</f>
        <v>0</v>
      </c>
      <c r="AB20" s="97">
        <f>IF(C20=2008, AA20/3,AA20)+Z20</f>
        <v>0</v>
      </c>
      <c r="AD20" s="108"/>
      <c r="AE20" s="108"/>
      <c r="AF20" s="108"/>
      <c r="AG20" s="108"/>
      <c r="AH20" s="108">
        <f>AV20</f>
        <v>0</v>
      </c>
      <c r="AI20" s="122"/>
      <c r="AJ20" s="96">
        <f>SUM(AD20:AH20)</f>
        <v>0</v>
      </c>
      <c r="AK20" s="97">
        <f>IF(C20=2011, AJ20/3,AJ20)+AI20</f>
        <v>0</v>
      </c>
      <c r="AN20" s="13">
        <v>0</v>
      </c>
      <c r="AT20" s="95"/>
      <c r="AU20" s="96">
        <f>SUM(AM20:AS20)</f>
        <v>0</v>
      </c>
      <c r="AV20" s="97">
        <f>IF(C20=2010, AU20/3,AU20)+AT20</f>
        <v>0</v>
      </c>
    </row>
    <row r="21" spans="1:49" x14ac:dyDescent="0.25">
      <c r="A21" s="60" t="s">
        <v>205</v>
      </c>
      <c r="B21" s="61" t="s">
        <v>87</v>
      </c>
      <c r="C21" s="62">
        <v>2006</v>
      </c>
      <c r="D21" s="2">
        <f t="shared" si="8"/>
        <v>4</v>
      </c>
      <c r="H21" s="280"/>
      <c r="L21" s="228"/>
      <c r="N21" s="267">
        <f t="shared" si="9"/>
        <v>4</v>
      </c>
      <c r="O21" s="120"/>
      <c r="P21" s="96">
        <f t="shared" si="10"/>
        <v>4</v>
      </c>
      <c r="Q21" s="97">
        <f t="shared" si="11"/>
        <v>4</v>
      </c>
      <c r="S21" s="108"/>
      <c r="T21" s="108"/>
      <c r="U21" s="108"/>
      <c r="V21" s="108"/>
      <c r="W21" s="108"/>
      <c r="X21" s="108"/>
      <c r="Y21" s="108">
        <f>AK21</f>
        <v>4</v>
      </c>
      <c r="Z21" s="122"/>
      <c r="AA21" s="96">
        <f>S21+T21+U21+V21+W21+X21+Y21</f>
        <v>4</v>
      </c>
      <c r="AB21" s="97">
        <f>IF(C21=2008, AA21/3,AA21)+Z21</f>
        <v>4</v>
      </c>
      <c r="AC21" s="22"/>
      <c r="AD21" s="108"/>
      <c r="AE21" s="108"/>
      <c r="AF21" s="108"/>
      <c r="AG21" s="108"/>
      <c r="AH21" s="108">
        <f>AV21</f>
        <v>4</v>
      </c>
      <c r="AI21" s="122"/>
      <c r="AJ21" s="96">
        <f>SUM(AD21:AH21)</f>
        <v>4</v>
      </c>
      <c r="AK21" s="97">
        <f>IF(C21=2007, AJ21/3,AJ21)+AI21</f>
        <v>4</v>
      </c>
      <c r="AL21" s="22"/>
      <c r="AM21" s="108">
        <f>6</f>
        <v>6</v>
      </c>
      <c r="AP21" s="13">
        <v>6</v>
      </c>
      <c r="AT21" s="95"/>
      <c r="AU21" s="96">
        <f>SUM(AM21:AS21)</f>
        <v>12</v>
      </c>
      <c r="AV21" s="97">
        <f>IF(C21=2006, AU21/3,AU21)+AT21</f>
        <v>4</v>
      </c>
    </row>
    <row r="22" spans="1:49" s="17" customFormat="1" x14ac:dyDescent="0.25">
      <c r="A22" s="60" t="s">
        <v>223</v>
      </c>
      <c r="B22" s="61" t="s">
        <v>87</v>
      </c>
      <c r="C22" s="62">
        <v>2004</v>
      </c>
      <c r="D22" s="2">
        <f t="shared" si="8"/>
        <v>0</v>
      </c>
      <c r="E22" s="283"/>
      <c r="F22" s="278"/>
      <c r="G22" s="120"/>
      <c r="H22" s="290"/>
      <c r="I22" s="261"/>
      <c r="J22" s="246"/>
      <c r="K22" s="241"/>
      <c r="L22" s="228"/>
      <c r="M22" s="215"/>
      <c r="N22" s="267">
        <f t="shared" si="9"/>
        <v>0</v>
      </c>
      <c r="O22" s="120"/>
      <c r="P22" s="96">
        <f t="shared" si="10"/>
        <v>0</v>
      </c>
      <c r="Q22" s="97">
        <f t="shared" si="11"/>
        <v>0</v>
      </c>
      <c r="R22" s="215"/>
      <c r="S22" s="108"/>
      <c r="T22" s="108"/>
      <c r="U22" s="108"/>
      <c r="V22" s="108"/>
      <c r="W22" s="108"/>
      <c r="X22" s="108"/>
      <c r="Y22" s="108">
        <f>AK22</f>
        <v>0</v>
      </c>
      <c r="Z22" s="122"/>
      <c r="AA22" s="96">
        <f>S22+T22+U22+V22+W22+X22+Y22</f>
        <v>0</v>
      </c>
      <c r="AB22" s="97">
        <f>IF(C22=2008, AA22/3,AA22)+Z22</f>
        <v>0</v>
      </c>
      <c r="AC22" s="286"/>
      <c r="AD22" s="108"/>
      <c r="AE22" s="108"/>
      <c r="AF22" s="108"/>
      <c r="AG22" s="108"/>
      <c r="AH22" s="108">
        <f>AV22</f>
        <v>0</v>
      </c>
      <c r="AI22" s="122"/>
      <c r="AJ22" s="96">
        <f>SUM(AD22:AH22)</f>
        <v>0</v>
      </c>
      <c r="AK22" s="97">
        <f>IF(C22=2007, AJ22/3,AJ22)+AI22</f>
        <v>0</v>
      </c>
      <c r="AL22" s="286"/>
      <c r="AM22" s="13"/>
      <c r="AN22" s="80">
        <v>0</v>
      </c>
      <c r="AO22" s="80"/>
      <c r="AP22" s="80"/>
      <c r="AQ22" s="80"/>
      <c r="AR22" s="80"/>
      <c r="AS22" s="80"/>
      <c r="AT22" s="95"/>
      <c r="AU22" s="96">
        <f>SUM(AM22:AS22)</f>
        <v>0</v>
      </c>
      <c r="AV22" s="97">
        <f>IF(C22=2006, AU22/3,AU22)+AT22</f>
        <v>0</v>
      </c>
      <c r="AW22" s="3"/>
    </row>
    <row r="23" spans="1:49" x14ac:dyDescent="0.25">
      <c r="A23" s="60" t="s">
        <v>203</v>
      </c>
      <c r="B23" s="61" t="s">
        <v>87</v>
      </c>
      <c r="C23" s="62">
        <v>2009</v>
      </c>
      <c r="D23" s="2">
        <f t="shared" si="8"/>
        <v>4</v>
      </c>
      <c r="E23" s="287"/>
      <c r="F23" s="287"/>
      <c r="N23" s="267">
        <f t="shared" si="9"/>
        <v>12</v>
      </c>
      <c r="O23" s="120"/>
      <c r="P23" s="96">
        <f t="shared" si="10"/>
        <v>12</v>
      </c>
      <c r="Q23" s="97">
        <f t="shared" si="11"/>
        <v>4</v>
      </c>
      <c r="S23" s="108"/>
      <c r="T23" s="108"/>
      <c r="U23" s="108"/>
      <c r="V23" s="108"/>
      <c r="W23" s="108"/>
      <c r="X23" s="108"/>
      <c r="Y23" s="108">
        <f>AK23</f>
        <v>12</v>
      </c>
      <c r="Z23" s="122"/>
      <c r="AA23" s="96">
        <f>S23+T23+U23+V23+W23+X23+Y23</f>
        <v>12</v>
      </c>
      <c r="AB23" s="97">
        <f>IF(C23=2012, AA23/3,AA23)+Z23</f>
        <v>12</v>
      </c>
      <c r="AC23" s="286"/>
      <c r="AD23" s="108"/>
      <c r="AE23" s="108"/>
      <c r="AF23" s="108"/>
      <c r="AG23" s="108"/>
      <c r="AH23" s="108">
        <f>AV23</f>
        <v>12</v>
      </c>
      <c r="AI23" s="122"/>
      <c r="AJ23" s="96">
        <f>SUM(AD23:AH23)</f>
        <v>12</v>
      </c>
      <c r="AK23" s="97">
        <f>IF(C23=2011, AJ23/3,AJ23)+AI23</f>
        <v>12</v>
      </c>
      <c r="AL23" s="286"/>
      <c r="AM23" s="286"/>
      <c r="AN23" s="287">
        <f>9+3</f>
        <v>12</v>
      </c>
      <c r="AO23" s="287"/>
      <c r="AP23" s="287"/>
      <c r="AQ23" s="287"/>
      <c r="AR23" s="287"/>
      <c r="AS23" s="286"/>
      <c r="AT23" s="95"/>
      <c r="AU23" s="96">
        <f>SUM(AM23:AS23)</f>
        <v>12</v>
      </c>
      <c r="AV23" s="97">
        <f>IF(C23=2010, AU23/3,AU23)+AT23</f>
        <v>12</v>
      </c>
    </row>
    <row r="24" spans="1:49" s="17" customFormat="1" x14ac:dyDescent="0.25">
      <c r="A24" s="11" t="s">
        <v>1207</v>
      </c>
      <c r="B24" s="11" t="s">
        <v>87</v>
      </c>
      <c r="C24" s="3">
        <v>2008</v>
      </c>
      <c r="D24" s="2">
        <f t="shared" si="8"/>
        <v>0</v>
      </c>
      <c r="E24" s="283"/>
      <c r="F24" s="283"/>
      <c r="G24" s="120"/>
      <c r="H24" s="290"/>
      <c r="I24" s="287"/>
      <c r="J24" s="261"/>
      <c r="K24" s="246"/>
      <c r="L24" s="241"/>
      <c r="M24" s="228">
        <f>0</f>
        <v>0</v>
      </c>
      <c r="N24" s="215">
        <f t="shared" si="9"/>
        <v>0</v>
      </c>
      <c r="O24" s="120"/>
      <c r="P24" s="236">
        <f t="shared" si="10"/>
        <v>0</v>
      </c>
      <c r="Q24" s="97">
        <f t="shared" si="11"/>
        <v>0</v>
      </c>
      <c r="R24" s="148"/>
      <c r="S24" s="13"/>
      <c r="T24" s="13"/>
      <c r="V24" s="13"/>
      <c r="W24" s="13"/>
      <c r="X24" s="13"/>
      <c r="Y24" s="13"/>
      <c r="Z24" s="13"/>
      <c r="AA24" s="13"/>
      <c r="AD24" s="13"/>
      <c r="AE24" s="13"/>
      <c r="AF24" s="13"/>
      <c r="AG24" s="13"/>
      <c r="AH24" s="13"/>
      <c r="AI24" s="13"/>
      <c r="AJ24" s="13"/>
      <c r="AM24" s="13"/>
      <c r="AN24" s="13"/>
      <c r="AO24" s="13"/>
      <c r="AP24" s="13"/>
      <c r="AQ24" s="13"/>
      <c r="AR24" s="13"/>
      <c r="AS24" s="13"/>
      <c r="AT24" s="13"/>
      <c r="AU24" s="13"/>
      <c r="AW24" s="3"/>
    </row>
    <row r="25" spans="1:49" x14ac:dyDescent="0.25">
      <c r="A25" s="60" t="s">
        <v>204</v>
      </c>
      <c r="B25" s="61" t="s">
        <v>87</v>
      </c>
      <c r="C25" s="62">
        <v>2008</v>
      </c>
      <c r="D25" s="2">
        <f t="shared" si="8"/>
        <v>6</v>
      </c>
      <c r="H25" s="280"/>
      <c r="N25" s="267">
        <f t="shared" si="9"/>
        <v>6</v>
      </c>
      <c r="O25" s="120"/>
      <c r="P25" s="96">
        <f t="shared" si="10"/>
        <v>6</v>
      </c>
      <c r="Q25" s="97">
        <f t="shared" si="11"/>
        <v>6</v>
      </c>
      <c r="S25" s="108"/>
      <c r="T25" s="108"/>
      <c r="U25" s="108"/>
      <c r="V25" s="108"/>
      <c r="W25" s="108"/>
      <c r="X25" s="108"/>
      <c r="Y25" s="108">
        <f t="shared" ref="Y25:Y34" si="12">AK25</f>
        <v>6</v>
      </c>
      <c r="Z25" s="122"/>
      <c r="AA25" s="236">
        <f t="shared" ref="AA25:AA34" si="13">S25+T25+U25+V25+W25+X25+Y25</f>
        <v>6</v>
      </c>
      <c r="AB25" s="237">
        <f>IF(C25=2012, AA25/3,AA25)+Z25</f>
        <v>6</v>
      </c>
      <c r="AD25" s="108"/>
      <c r="AE25" s="108"/>
      <c r="AF25" s="108"/>
      <c r="AG25" s="108"/>
      <c r="AH25" s="108">
        <f>AV25</f>
        <v>6</v>
      </c>
      <c r="AI25" s="122"/>
      <c r="AJ25" s="236">
        <f>SUM(AD25:AH25)</f>
        <v>6</v>
      </c>
      <c r="AK25" s="237">
        <f>IF(C25=2011, AJ25/3,AJ25)+AI25</f>
        <v>6</v>
      </c>
      <c r="AN25" s="287">
        <f>3+3</f>
        <v>6</v>
      </c>
      <c r="AO25" s="287"/>
      <c r="AP25" s="287"/>
      <c r="AQ25" s="287"/>
      <c r="AR25" s="287"/>
      <c r="AT25" s="155"/>
      <c r="AU25" s="236">
        <f>SUM(AM25:AS25)</f>
        <v>6</v>
      </c>
      <c r="AV25" s="237">
        <f>IF(C25=2010, AU25/3,AU25)+AT25</f>
        <v>6</v>
      </c>
    </row>
    <row r="26" spans="1:49" x14ac:dyDescent="0.25">
      <c r="A26" s="60" t="s">
        <v>202</v>
      </c>
      <c r="B26" s="61" t="s">
        <v>87</v>
      </c>
      <c r="C26" s="62">
        <v>2008</v>
      </c>
      <c r="D26" s="2">
        <f t="shared" si="8"/>
        <v>26</v>
      </c>
      <c r="H26" s="280"/>
      <c r="I26" s="154"/>
      <c r="J26" s="154"/>
      <c r="K26" s="154"/>
      <c r="L26" s="154"/>
      <c r="M26" s="154"/>
      <c r="N26" s="267">
        <f t="shared" si="9"/>
        <v>26</v>
      </c>
      <c r="O26" s="122"/>
      <c r="P26" s="96">
        <f t="shared" si="10"/>
        <v>26</v>
      </c>
      <c r="Q26" s="97">
        <f t="shared" si="11"/>
        <v>26</v>
      </c>
      <c r="R26" s="154"/>
      <c r="S26" s="108"/>
      <c r="T26" s="108"/>
      <c r="U26" s="108"/>
      <c r="V26" s="108"/>
      <c r="W26" s="108"/>
      <c r="X26" s="108"/>
      <c r="Y26" s="108">
        <f t="shared" si="12"/>
        <v>26</v>
      </c>
      <c r="Z26" s="122"/>
      <c r="AA26" s="236">
        <f t="shared" si="13"/>
        <v>26</v>
      </c>
      <c r="AB26" s="237">
        <f>IF(C26=2012, AA26/3,AA26)+Z26</f>
        <v>26</v>
      </c>
      <c r="AD26" s="108"/>
      <c r="AE26" s="108"/>
      <c r="AF26" s="108"/>
      <c r="AG26" s="108"/>
      <c r="AH26" s="108">
        <f>AV26</f>
        <v>26</v>
      </c>
      <c r="AI26" s="122"/>
      <c r="AJ26" s="236">
        <f>SUM(AD26:AH26)</f>
        <v>26</v>
      </c>
      <c r="AK26" s="237">
        <f>IF(C26=2011, AJ26/3,AJ26)+AI26</f>
        <v>26</v>
      </c>
      <c r="AN26" s="287">
        <f>0+21</f>
        <v>21</v>
      </c>
      <c r="AO26" s="287"/>
      <c r="AP26" s="287"/>
      <c r="AQ26" s="287"/>
      <c r="AR26" s="287"/>
      <c r="AS26" s="13">
        <f>5</f>
        <v>5</v>
      </c>
      <c r="AT26" s="155"/>
      <c r="AU26" s="236">
        <f>SUM(AM26:AS26)</f>
        <v>26</v>
      </c>
      <c r="AV26" s="237">
        <f>IF(C26=2010, AU26/3,AU26)+AT26</f>
        <v>26</v>
      </c>
    </row>
    <row r="27" spans="1:49" s="17" customFormat="1" x14ac:dyDescent="0.25">
      <c r="A27" s="11" t="s">
        <v>388</v>
      </c>
      <c r="B27" s="11" t="s">
        <v>378</v>
      </c>
      <c r="C27" s="3">
        <v>2005</v>
      </c>
      <c r="D27" s="2">
        <f t="shared" si="8"/>
        <v>0</v>
      </c>
      <c r="E27" s="283"/>
      <c r="F27" s="278"/>
      <c r="G27" s="120"/>
      <c r="H27" s="280"/>
      <c r="I27" s="261"/>
      <c r="J27" s="246"/>
      <c r="K27" s="241"/>
      <c r="L27" s="241"/>
      <c r="M27" s="215"/>
      <c r="N27" s="267">
        <f t="shared" si="9"/>
        <v>0</v>
      </c>
      <c r="O27" s="120"/>
      <c r="P27" s="96">
        <f t="shared" si="10"/>
        <v>0</v>
      </c>
      <c r="Q27" s="97">
        <f t="shared" si="11"/>
        <v>0</v>
      </c>
      <c r="R27" s="215"/>
      <c r="S27" s="108"/>
      <c r="T27" s="108"/>
      <c r="U27" s="108"/>
      <c r="V27" s="108"/>
      <c r="W27" s="108"/>
      <c r="X27" s="108"/>
      <c r="Y27" s="108">
        <f t="shared" si="12"/>
        <v>0</v>
      </c>
      <c r="Z27" s="122"/>
      <c r="AA27" s="96">
        <f t="shared" si="13"/>
        <v>0</v>
      </c>
      <c r="AB27" s="97">
        <f>IF(C27=2008, AA27/3,AA27)+Z27</f>
        <v>0</v>
      </c>
      <c r="AC27" s="13"/>
      <c r="AD27" s="108"/>
      <c r="AE27" s="108"/>
      <c r="AF27" s="108"/>
      <c r="AG27" s="108"/>
      <c r="AH27" s="108">
        <f>AV27</f>
        <v>0</v>
      </c>
      <c r="AI27" s="122"/>
      <c r="AJ27" s="96">
        <f>SUM(AD27:AH27)</f>
        <v>0</v>
      </c>
      <c r="AK27" s="97">
        <f>IF(C27=2007, AJ27/3,AJ27)+AI27</f>
        <v>0</v>
      </c>
      <c r="AL27" s="13"/>
      <c r="AM27" s="13"/>
      <c r="AN27" s="13"/>
      <c r="AO27" s="13"/>
      <c r="AP27" s="13">
        <f>0</f>
        <v>0</v>
      </c>
      <c r="AQ27" s="13"/>
      <c r="AR27" s="13"/>
      <c r="AS27" s="13"/>
      <c r="AT27" s="95"/>
      <c r="AU27" s="96">
        <f>SUM(AM27:AS27)</f>
        <v>0</v>
      </c>
      <c r="AV27" s="97">
        <f>IF(C27=2006, AU27/3,AU27)+AT27</f>
        <v>0</v>
      </c>
      <c r="AW27" s="3"/>
    </row>
    <row r="28" spans="1:49" s="17" customFormat="1" x14ac:dyDescent="0.25">
      <c r="A28" s="51" t="s">
        <v>59</v>
      </c>
      <c r="B28" s="51" t="s">
        <v>23</v>
      </c>
      <c r="C28" s="52">
        <v>2008</v>
      </c>
      <c r="D28" s="2">
        <f t="shared" si="8"/>
        <v>14.333333333333334</v>
      </c>
      <c r="E28" s="154"/>
      <c r="F28" s="154"/>
      <c r="G28" s="120"/>
      <c r="H28" s="280"/>
      <c r="I28" s="261"/>
      <c r="J28" s="246"/>
      <c r="K28" s="241"/>
      <c r="L28" s="241"/>
      <c r="M28" s="215"/>
      <c r="N28" s="267">
        <f t="shared" si="9"/>
        <v>14.333333333333334</v>
      </c>
      <c r="O28" s="120"/>
      <c r="P28" s="96">
        <f t="shared" si="10"/>
        <v>14.333333333333334</v>
      </c>
      <c r="Q28" s="97">
        <f t="shared" si="11"/>
        <v>14.333333333333334</v>
      </c>
      <c r="R28" s="215"/>
      <c r="S28" s="108"/>
      <c r="T28" s="108"/>
      <c r="U28" s="108"/>
      <c r="V28" s="108"/>
      <c r="W28" s="108"/>
      <c r="X28" s="108"/>
      <c r="Y28" s="108">
        <f t="shared" si="12"/>
        <v>14.333333333333334</v>
      </c>
      <c r="Z28" s="122"/>
      <c r="AA28" s="96">
        <f t="shared" si="13"/>
        <v>14.333333333333334</v>
      </c>
      <c r="AB28" s="97">
        <f>IF(C28=2012, AA28/3,AA28)+Z28</f>
        <v>14.333333333333334</v>
      </c>
      <c r="AC28" s="287"/>
      <c r="AD28" s="108"/>
      <c r="AE28" s="108"/>
      <c r="AF28" s="108">
        <f>4</f>
        <v>4</v>
      </c>
      <c r="AG28" s="108"/>
      <c r="AH28" s="108">
        <f>AV28</f>
        <v>10.333333333333334</v>
      </c>
      <c r="AI28" s="122"/>
      <c r="AJ28" s="96">
        <f>SUM(AD28:AH28)</f>
        <v>14.333333333333334</v>
      </c>
      <c r="AK28" s="97">
        <f>IF(C28=2011, AJ28/3,AJ28)+AI28</f>
        <v>14.333333333333334</v>
      </c>
      <c r="AL28" s="287"/>
      <c r="AM28" s="287">
        <f>0</f>
        <v>0</v>
      </c>
      <c r="AN28" s="287"/>
      <c r="AO28" s="287"/>
      <c r="AP28" s="287"/>
      <c r="AQ28" s="287"/>
      <c r="AR28" s="287"/>
      <c r="AS28" s="287">
        <v>10.333333333333334</v>
      </c>
      <c r="AT28" s="95"/>
      <c r="AU28" s="96">
        <f>SUM(AM28:AS28)</f>
        <v>10.333333333333334</v>
      </c>
      <c r="AV28" s="97">
        <f>IF(C28=2010, AU28/3,AU28)+AT28</f>
        <v>10.333333333333334</v>
      </c>
      <c r="AW28" s="3"/>
    </row>
    <row r="29" spans="1:49" s="17" customFormat="1" x14ac:dyDescent="0.25">
      <c r="A29" s="11" t="s">
        <v>924</v>
      </c>
      <c r="B29" s="11" t="s">
        <v>919</v>
      </c>
      <c r="C29" s="3">
        <v>1993</v>
      </c>
      <c r="D29" s="2">
        <f t="shared" si="8"/>
        <v>0</v>
      </c>
      <c r="E29" s="283"/>
      <c r="F29" s="278"/>
      <c r="G29" s="120"/>
      <c r="H29" s="280"/>
      <c r="I29" s="261"/>
      <c r="J29" s="246"/>
      <c r="K29" s="241"/>
      <c r="L29" s="228"/>
      <c r="M29" s="228">
        <f>0</f>
        <v>0</v>
      </c>
      <c r="N29" s="267">
        <f t="shared" si="9"/>
        <v>0</v>
      </c>
      <c r="O29" s="120"/>
      <c r="P29" s="96">
        <f t="shared" si="10"/>
        <v>0</v>
      </c>
      <c r="Q29" s="97">
        <f t="shared" si="11"/>
        <v>0</v>
      </c>
      <c r="R29" s="228"/>
      <c r="S29" s="13"/>
      <c r="T29" s="13"/>
      <c r="U29" s="13">
        <f>0</f>
        <v>0</v>
      </c>
      <c r="V29" s="13"/>
      <c r="W29" s="13"/>
      <c r="X29" s="13"/>
      <c r="Y29" s="108">
        <f t="shared" si="12"/>
        <v>0</v>
      </c>
      <c r="Z29" s="13"/>
      <c r="AA29" s="96">
        <f t="shared" si="13"/>
        <v>0</v>
      </c>
      <c r="AB29" s="97">
        <f>IF(C29=2008, AA29/3,AA29)+Z29</f>
        <v>0</v>
      </c>
      <c r="AC29" s="13"/>
      <c r="AD29" s="13"/>
      <c r="AE29" s="13"/>
      <c r="AF29" s="13"/>
      <c r="AG29" s="13"/>
      <c r="AH29" s="13"/>
      <c r="AI29" s="13"/>
      <c r="AL29" s="13"/>
      <c r="AM29" s="13"/>
      <c r="AN29" s="13"/>
      <c r="AO29" s="13"/>
      <c r="AP29" s="13"/>
      <c r="AQ29" s="13"/>
      <c r="AR29" s="13"/>
      <c r="AS29" s="13"/>
      <c r="AW29" s="3"/>
    </row>
    <row r="30" spans="1:49" x14ac:dyDescent="0.25">
      <c r="A30" s="60" t="s">
        <v>636</v>
      </c>
      <c r="B30" s="60" t="s">
        <v>64</v>
      </c>
      <c r="C30" s="60"/>
      <c r="D30" s="2">
        <f t="shared" si="8"/>
        <v>84</v>
      </c>
      <c r="H30" s="280"/>
      <c r="I30" s="156"/>
      <c r="J30" s="156"/>
      <c r="K30" s="156"/>
      <c r="L30" s="156"/>
      <c r="M30" s="156"/>
      <c r="N30" s="267">
        <f t="shared" si="9"/>
        <v>84</v>
      </c>
      <c r="O30" s="120"/>
      <c r="P30" s="96">
        <f t="shared" si="10"/>
        <v>84</v>
      </c>
      <c r="Q30" s="97">
        <f t="shared" si="11"/>
        <v>84</v>
      </c>
      <c r="R30" s="156"/>
      <c r="S30" s="286"/>
      <c r="T30" s="286"/>
      <c r="U30" s="286"/>
      <c r="V30" s="286"/>
      <c r="W30" s="286"/>
      <c r="X30" s="286"/>
      <c r="Y30" s="108">
        <f t="shared" si="12"/>
        <v>84</v>
      </c>
      <c r="Z30" s="123"/>
      <c r="AA30" s="96">
        <f t="shared" si="13"/>
        <v>84</v>
      </c>
      <c r="AB30" s="97">
        <f>IF(C30=2008, AA30/3,AA30)+Z30</f>
        <v>84</v>
      </c>
      <c r="AC30" s="286"/>
      <c r="AD30" s="286"/>
      <c r="AE30" s="286"/>
      <c r="AF30" s="286">
        <f>3</f>
        <v>3</v>
      </c>
      <c r="AG30" s="286"/>
      <c r="AH30" s="108">
        <f>81</f>
        <v>81</v>
      </c>
      <c r="AI30" s="123"/>
      <c r="AJ30" s="96">
        <f>SUM(AD30:AH30)</f>
        <v>84</v>
      </c>
      <c r="AK30" s="97">
        <f>IF(C30=2007, AJ30/3,AJ30)+AI30</f>
        <v>84</v>
      </c>
      <c r="AL30" s="286"/>
      <c r="AM30" s="286"/>
      <c r="AN30" s="286"/>
      <c r="AO30" s="286"/>
      <c r="AP30" s="286"/>
      <c r="AQ30" s="286"/>
      <c r="AR30" s="286"/>
      <c r="AS30" s="286"/>
      <c r="AT30" s="95"/>
      <c r="AU30" s="96"/>
      <c r="AV30" s="97"/>
    </row>
    <row r="31" spans="1:49" x14ac:dyDescent="0.25">
      <c r="A31" s="11" t="s">
        <v>923</v>
      </c>
      <c r="B31" s="11" t="s">
        <v>918</v>
      </c>
      <c r="C31" s="3">
        <v>1998</v>
      </c>
      <c r="D31" s="2">
        <f t="shared" si="8"/>
        <v>3</v>
      </c>
      <c r="H31" s="290"/>
      <c r="I31" s="154"/>
      <c r="J31" s="154"/>
      <c r="K31" s="154"/>
      <c r="L31" s="154"/>
      <c r="M31" s="154"/>
      <c r="N31" s="267">
        <f t="shared" si="9"/>
        <v>3</v>
      </c>
      <c r="O31" s="122"/>
      <c r="P31" s="96">
        <f t="shared" si="10"/>
        <v>3</v>
      </c>
      <c r="Q31" s="97">
        <f t="shared" si="11"/>
        <v>3</v>
      </c>
      <c r="R31" s="154"/>
      <c r="U31" s="13">
        <f>3</f>
        <v>3</v>
      </c>
      <c r="V31" s="286"/>
      <c r="W31" s="286"/>
      <c r="X31" s="286"/>
      <c r="Y31" s="108">
        <f t="shared" si="12"/>
        <v>0</v>
      </c>
      <c r="Z31" s="286"/>
      <c r="AA31" s="96">
        <f t="shared" si="13"/>
        <v>3</v>
      </c>
      <c r="AB31" s="97">
        <f>IF(C31=2008, AA31/3,AA31)+Z31</f>
        <v>3</v>
      </c>
      <c r="AD31" s="286"/>
      <c r="AE31" s="286"/>
      <c r="AF31" s="286"/>
      <c r="AG31" s="286"/>
      <c r="AH31" s="286"/>
      <c r="AI31" s="286"/>
      <c r="AJ31" s="17"/>
      <c r="AK31" s="17"/>
      <c r="AT31" s="17"/>
      <c r="AU31" s="17"/>
      <c r="AV31" s="17"/>
    </row>
    <row r="32" spans="1:49" x14ac:dyDescent="0.25">
      <c r="A32" s="11" t="s">
        <v>637</v>
      </c>
      <c r="B32" s="11" t="s">
        <v>629</v>
      </c>
      <c r="C32" s="3">
        <v>2009</v>
      </c>
      <c r="D32" s="2">
        <f t="shared" si="8"/>
        <v>21</v>
      </c>
      <c r="H32" s="280"/>
      <c r="N32" s="267">
        <f t="shared" si="9"/>
        <v>63</v>
      </c>
      <c r="O32" s="120"/>
      <c r="P32" s="96">
        <f t="shared" si="10"/>
        <v>63</v>
      </c>
      <c r="Q32" s="97">
        <f t="shared" si="11"/>
        <v>21</v>
      </c>
      <c r="S32" s="108"/>
      <c r="T32" s="108"/>
      <c r="U32" s="108"/>
      <c r="V32" s="108"/>
      <c r="W32" s="108">
        <f>9</f>
        <v>9</v>
      </c>
      <c r="X32" s="108">
        <f>3</f>
        <v>3</v>
      </c>
      <c r="Y32" s="108">
        <f t="shared" si="12"/>
        <v>51</v>
      </c>
      <c r="Z32" s="122"/>
      <c r="AA32" s="96">
        <f t="shared" si="13"/>
        <v>63</v>
      </c>
      <c r="AB32" s="97">
        <f>IF(C32=2012, AA32/3,AA32)+Z32</f>
        <v>63</v>
      </c>
      <c r="AC32" s="141"/>
      <c r="AD32" s="108"/>
      <c r="AE32" s="108"/>
      <c r="AF32" s="108">
        <f>0</f>
        <v>0</v>
      </c>
      <c r="AG32" s="108"/>
      <c r="AH32" s="108">
        <f>51</f>
        <v>51</v>
      </c>
      <c r="AI32" s="122"/>
      <c r="AJ32" s="96">
        <f>SUM(AD32:AH32)</f>
        <v>51</v>
      </c>
      <c r="AK32" s="97">
        <f>IF(C32=2011, AJ32/3,AJ32)+AI32</f>
        <v>51</v>
      </c>
      <c r="AL32" s="91"/>
      <c r="AM32" s="41"/>
      <c r="AN32" s="41"/>
      <c r="AO32" s="41"/>
      <c r="AP32" s="41"/>
      <c r="AQ32" s="41"/>
      <c r="AR32" s="41"/>
      <c r="AS32" s="74"/>
      <c r="AT32" s="95"/>
      <c r="AU32" s="96"/>
      <c r="AV32" s="97"/>
    </row>
    <row r="33" spans="1:49" x14ac:dyDescent="0.25">
      <c r="A33" s="51" t="s">
        <v>369</v>
      </c>
      <c r="B33" s="51" t="s">
        <v>231</v>
      </c>
      <c r="C33" s="52">
        <v>2009</v>
      </c>
      <c r="D33" s="2">
        <f t="shared" si="8"/>
        <v>30.333333333333332</v>
      </c>
      <c r="E33" s="283">
        <f>3</f>
        <v>3</v>
      </c>
      <c r="F33" s="278">
        <f>3</f>
        <v>3</v>
      </c>
      <c r="I33" s="261">
        <f>9</f>
        <v>9</v>
      </c>
      <c r="N33" s="267">
        <f t="shared" si="9"/>
        <v>64</v>
      </c>
      <c r="O33" s="120"/>
      <c r="P33" s="96">
        <f t="shared" si="10"/>
        <v>73</v>
      </c>
      <c r="Q33" s="97">
        <f t="shared" si="11"/>
        <v>24.333333333333332</v>
      </c>
      <c r="S33" s="108"/>
      <c r="T33" s="108"/>
      <c r="U33" s="108"/>
      <c r="V33" s="108"/>
      <c r="W33" s="108"/>
      <c r="X33" s="108"/>
      <c r="Y33" s="108">
        <f t="shared" si="12"/>
        <v>64</v>
      </c>
      <c r="Z33" s="122"/>
      <c r="AA33" s="96">
        <f t="shared" si="13"/>
        <v>64</v>
      </c>
      <c r="AB33" s="97">
        <f>IF(C33=2012, AA33/3,AA33)+Z33</f>
        <v>64</v>
      </c>
      <c r="AC33" s="287"/>
      <c r="AD33" s="108"/>
      <c r="AE33" s="108">
        <f>6</f>
        <v>6</v>
      </c>
      <c r="AF33" s="108">
        <f>22</f>
        <v>22</v>
      </c>
      <c r="AG33" s="108"/>
      <c r="AH33" s="108">
        <f>AV33</f>
        <v>36</v>
      </c>
      <c r="AI33" s="122"/>
      <c r="AJ33" s="236">
        <f>SUM(AD33:AH33)</f>
        <v>64</v>
      </c>
      <c r="AK33" s="237">
        <f>IF(C33=2011, AJ33/3,AJ33)+AI33</f>
        <v>64</v>
      </c>
      <c r="AL33" s="287"/>
      <c r="AM33" s="287"/>
      <c r="AN33" s="287"/>
      <c r="AO33" s="287"/>
      <c r="AP33" s="287">
        <f>3</f>
        <v>3</v>
      </c>
      <c r="AQ33" s="287"/>
      <c r="AR33" s="287"/>
      <c r="AS33" s="287">
        <f>33</f>
        <v>33</v>
      </c>
      <c r="AT33" s="155"/>
      <c r="AU33" s="236">
        <f>SUM(AM33:AS33)</f>
        <v>36</v>
      </c>
      <c r="AV33" s="237">
        <f>IF(C33=2010, AU33/3,AU33)+AT33</f>
        <v>36</v>
      </c>
      <c r="AW33" s="17"/>
    </row>
    <row r="34" spans="1:49" x14ac:dyDescent="0.25">
      <c r="A34" s="60" t="s">
        <v>206</v>
      </c>
      <c r="B34" s="61" t="s">
        <v>87</v>
      </c>
      <c r="C34" s="62">
        <v>2007</v>
      </c>
      <c r="D34" s="2">
        <f t="shared" si="8"/>
        <v>18</v>
      </c>
      <c r="E34" s="154"/>
      <c r="F34" s="154"/>
      <c r="H34" s="280"/>
      <c r="M34" s="228"/>
      <c r="N34" s="267">
        <f t="shared" si="9"/>
        <v>18</v>
      </c>
      <c r="O34" s="120"/>
      <c r="P34" s="96">
        <f t="shared" si="10"/>
        <v>18</v>
      </c>
      <c r="Q34" s="97">
        <f t="shared" si="11"/>
        <v>18</v>
      </c>
      <c r="R34" s="228"/>
      <c r="S34" s="108"/>
      <c r="T34" s="108"/>
      <c r="U34" s="108"/>
      <c r="V34" s="108"/>
      <c r="W34" s="108"/>
      <c r="X34" s="108"/>
      <c r="Y34" s="108">
        <f t="shared" si="12"/>
        <v>18</v>
      </c>
      <c r="Z34" s="122"/>
      <c r="AA34" s="96">
        <f t="shared" si="13"/>
        <v>18</v>
      </c>
      <c r="AB34" s="97">
        <f>IF(C34=2008, AA34/3,AA34)+Z34</f>
        <v>18</v>
      </c>
      <c r="AD34" s="108"/>
      <c r="AE34" s="108"/>
      <c r="AF34" s="108"/>
      <c r="AG34" s="108"/>
      <c r="AH34" s="108">
        <f>AV34</f>
        <v>18</v>
      </c>
      <c r="AI34" s="122"/>
      <c r="AJ34" s="236">
        <f>SUM(AD34:AH34)</f>
        <v>18</v>
      </c>
      <c r="AK34" s="237">
        <f>IF(C34=2011, AJ34/3,AJ34)+AI34</f>
        <v>18</v>
      </c>
      <c r="AN34" s="13">
        <f>15+3</f>
        <v>18</v>
      </c>
      <c r="AT34" s="155"/>
      <c r="AU34" s="236">
        <f>SUM(AM34:AS34)</f>
        <v>18</v>
      </c>
      <c r="AV34" s="237">
        <f>IF(C34=2010, AU34/3,AU34)+AT34</f>
        <v>18</v>
      </c>
    </row>
    <row r="35" spans="1:49" x14ac:dyDescent="0.25">
      <c r="A35" s="60" t="s">
        <v>570</v>
      </c>
      <c r="B35" s="61" t="s">
        <v>64</v>
      </c>
      <c r="C35" s="62">
        <v>2009</v>
      </c>
      <c r="D35" s="2">
        <f t="shared" si="8"/>
        <v>87</v>
      </c>
      <c r="E35" s="283">
        <f>0</f>
        <v>0</v>
      </c>
      <c r="H35" s="3"/>
      <c r="I35" s="290"/>
      <c r="J35" s="246">
        <f>6</f>
        <v>6</v>
      </c>
      <c r="K35" s="241">
        <f>3</f>
        <v>3</v>
      </c>
      <c r="L35" s="241">
        <f>0</f>
        <v>0</v>
      </c>
      <c r="O35" s="120">
        <f>AC35</f>
        <v>39</v>
      </c>
      <c r="P35" s="96">
        <f>J35+K35+L35+M35+N35+O35</f>
        <v>48</v>
      </c>
      <c r="Q35" s="237">
        <f>IF(C35=2013, P35/3,P35)+O35</f>
        <v>87</v>
      </c>
      <c r="R35" s="3"/>
      <c r="S35" s="287"/>
      <c r="T35" s="108"/>
      <c r="U35" s="108">
        <f>6</f>
        <v>6</v>
      </c>
      <c r="V35" s="108"/>
      <c r="W35" s="108"/>
      <c r="X35" s="108">
        <f>3</f>
        <v>3</v>
      </c>
      <c r="Y35" s="108">
        <f>0+6</f>
        <v>6</v>
      </c>
      <c r="Z35" s="108">
        <f>AL35</f>
        <v>24</v>
      </c>
      <c r="AA35" s="124"/>
      <c r="AB35" s="236">
        <f>T35+U35+V35+W35+X35+Y35+Z35</f>
        <v>39</v>
      </c>
      <c r="AC35" s="237">
        <f>IF(C35=2012, AB35/3,AB35)+AA35</f>
        <v>39</v>
      </c>
      <c r="AE35" s="108"/>
      <c r="AF35" s="108">
        <f>3</f>
        <v>3</v>
      </c>
      <c r="AG35" s="108"/>
      <c r="AH35" s="108">
        <f>21</f>
        <v>21</v>
      </c>
      <c r="AI35" s="74"/>
      <c r="AJ35" s="124"/>
      <c r="AK35" s="236">
        <f>SUM(AE35:AI35)</f>
        <v>24</v>
      </c>
      <c r="AL35" s="237">
        <f>IF(C35=2011, AK35/3,AK35)+AJ35</f>
        <v>24</v>
      </c>
      <c r="AU35" s="155"/>
      <c r="AV35" s="236"/>
      <c r="AW35" s="97"/>
    </row>
    <row r="36" spans="1:49" s="17" customFormat="1" x14ac:dyDescent="0.25">
      <c r="A36" s="304" t="s">
        <v>15</v>
      </c>
      <c r="B36" s="305"/>
      <c r="C36" s="306"/>
      <c r="D36" s="2"/>
      <c r="E36" s="154"/>
      <c r="F36" s="154"/>
      <c r="G36" s="120"/>
      <c r="H36" s="280"/>
      <c r="I36" s="261"/>
      <c r="J36" s="246"/>
      <c r="K36" s="241"/>
      <c r="L36" s="241"/>
      <c r="M36" s="215"/>
      <c r="N36" s="267">
        <f t="shared" si="1"/>
        <v>0</v>
      </c>
      <c r="O36" s="152"/>
      <c r="P36" s="96">
        <f t="shared" si="2"/>
        <v>0</v>
      </c>
      <c r="Q36" s="97">
        <f t="shared" si="3"/>
        <v>0</v>
      </c>
      <c r="R36" s="215"/>
      <c r="S36" s="108"/>
      <c r="T36" s="108"/>
      <c r="U36" s="108"/>
      <c r="V36" s="108"/>
      <c r="W36" s="108"/>
      <c r="X36" s="108"/>
      <c r="Y36" s="108">
        <f t="shared" si="4"/>
        <v>0</v>
      </c>
      <c r="Z36" s="108"/>
      <c r="AA36" s="96">
        <f t="shared" si="5"/>
        <v>0</v>
      </c>
      <c r="AB36" s="97">
        <f t="shared" si="6"/>
        <v>0</v>
      </c>
      <c r="AC36" s="141"/>
      <c r="AD36" s="108"/>
      <c r="AE36" s="108"/>
      <c r="AF36" s="108"/>
      <c r="AG36" s="108"/>
      <c r="AH36" s="108"/>
      <c r="AI36" s="108"/>
      <c r="AJ36" s="68"/>
      <c r="AK36" s="68"/>
      <c r="AL36" s="91"/>
      <c r="AM36" s="34"/>
      <c r="AN36" s="37"/>
      <c r="AO36" s="57"/>
      <c r="AP36" s="69"/>
      <c r="AQ36" s="91"/>
      <c r="AR36" s="88"/>
      <c r="AS36" s="34"/>
      <c r="AT36" s="95"/>
      <c r="AU36" s="96">
        <f t="shared" ref="AU36" si="14">SUM(AM36:AS36)</f>
        <v>0</v>
      </c>
      <c r="AV36" s="97">
        <f>IF(C36=2006, AU36/3,AU36)+AT36</f>
        <v>0</v>
      </c>
    </row>
    <row r="37" spans="1:49" x14ac:dyDescent="0.25">
      <c r="H37" s="280"/>
      <c r="O37" s="120"/>
      <c r="P37" s="13"/>
      <c r="Q37" s="13"/>
      <c r="AA37" s="13"/>
      <c r="AB37" s="13"/>
    </row>
    <row r="38" spans="1:49" x14ac:dyDescent="0.25">
      <c r="H38" s="280"/>
      <c r="O38" s="120"/>
      <c r="P38" s="13"/>
      <c r="Q38" s="13"/>
      <c r="AA38" s="13"/>
      <c r="AB38" s="13"/>
    </row>
    <row r="39" spans="1:49" x14ac:dyDescent="0.25">
      <c r="E39" s="108"/>
      <c r="F39" s="108"/>
      <c r="H39" s="101"/>
      <c r="O39" s="120"/>
      <c r="P39" s="13"/>
      <c r="Q39" s="13"/>
      <c r="AA39" s="13"/>
      <c r="AB39" s="13"/>
    </row>
    <row r="40" spans="1:49" x14ac:dyDescent="0.25">
      <c r="H40" s="280"/>
      <c r="O40" s="120"/>
      <c r="P40" s="13"/>
      <c r="Q40" s="13"/>
      <c r="AA40" s="13"/>
      <c r="AB40" s="13"/>
    </row>
    <row r="41" spans="1:49" x14ac:dyDescent="0.25">
      <c r="H41" s="280"/>
      <c r="P41" s="13"/>
      <c r="Q41" s="13"/>
      <c r="AA41" s="13"/>
      <c r="AB41" s="13"/>
    </row>
    <row r="42" spans="1:49" x14ac:dyDescent="0.25">
      <c r="H42" s="280"/>
      <c r="O42" s="152"/>
      <c r="P42" s="13"/>
      <c r="Q42" s="13"/>
      <c r="AA42" s="13"/>
      <c r="AB42" s="13"/>
    </row>
    <row r="43" spans="1:49" x14ac:dyDescent="0.25">
      <c r="E43" s="154"/>
      <c r="F43" s="154"/>
      <c r="H43" s="280"/>
      <c r="O43" s="152"/>
      <c r="P43" s="13"/>
      <c r="Q43" s="13"/>
      <c r="AA43" s="13"/>
      <c r="AB43" s="13"/>
    </row>
    <row r="44" spans="1:49" x14ac:dyDescent="0.25">
      <c r="H44" s="280"/>
      <c r="O44" s="120"/>
      <c r="P44" s="13"/>
      <c r="Q44" s="13"/>
      <c r="AA44" s="13"/>
      <c r="AB44" s="13"/>
    </row>
    <row r="45" spans="1:49" x14ac:dyDescent="0.25">
      <c r="H45" s="280"/>
      <c r="O45" s="120"/>
      <c r="P45" s="13"/>
      <c r="Q45" s="13"/>
      <c r="AA45" s="13"/>
      <c r="AB45" s="13"/>
    </row>
    <row r="46" spans="1:49" x14ac:dyDescent="0.25">
      <c r="H46" s="280"/>
      <c r="O46" s="120"/>
      <c r="P46" s="13"/>
      <c r="Q46" s="13"/>
      <c r="AA46" s="13"/>
      <c r="AB46" s="13"/>
    </row>
    <row r="47" spans="1:49" x14ac:dyDescent="0.25">
      <c r="E47" s="154"/>
      <c r="F47" s="154"/>
      <c r="H47" s="280"/>
      <c r="O47" s="152"/>
      <c r="P47" s="13"/>
      <c r="Q47" s="13"/>
      <c r="AA47" s="13"/>
      <c r="AB47" s="13"/>
    </row>
    <row r="48" spans="1:49" x14ac:dyDescent="0.25">
      <c r="H48" s="280"/>
      <c r="O48" s="120"/>
      <c r="P48" s="13"/>
      <c r="Q48" s="13"/>
      <c r="AA48" s="13"/>
      <c r="AB48" s="13"/>
    </row>
    <row r="49" spans="5:28" x14ac:dyDescent="0.25">
      <c r="E49" s="154"/>
      <c r="F49" s="154"/>
      <c r="H49" s="280"/>
      <c r="O49" s="152"/>
      <c r="P49" s="13"/>
      <c r="Q49" s="13"/>
      <c r="AA49" s="13"/>
      <c r="AB49" s="13"/>
    </row>
    <row r="50" spans="5:28" x14ac:dyDescent="0.25">
      <c r="E50" s="108"/>
      <c r="F50" s="108"/>
      <c r="H50" s="101"/>
      <c r="I50" s="108"/>
      <c r="J50" s="108"/>
      <c r="K50" s="108"/>
      <c r="L50" s="108"/>
      <c r="M50" s="108"/>
      <c r="N50" s="108"/>
      <c r="O50" s="122"/>
      <c r="P50" s="13"/>
      <c r="Q50" s="13"/>
      <c r="R50" s="108"/>
      <c r="AA50" s="13"/>
      <c r="AB50" s="13"/>
    </row>
    <row r="51" spans="5:28" x14ac:dyDescent="0.25">
      <c r="E51" s="108"/>
      <c r="F51" s="108"/>
      <c r="H51" s="101"/>
      <c r="O51" s="120"/>
      <c r="P51" s="13"/>
      <c r="Q51" s="13"/>
      <c r="AA51" s="13"/>
      <c r="AB51" s="13"/>
    </row>
    <row r="52" spans="5:28" x14ac:dyDescent="0.25">
      <c r="H52" s="280"/>
      <c r="O52" s="120"/>
      <c r="P52" s="13"/>
      <c r="Q52" s="13"/>
      <c r="AA52" s="13"/>
      <c r="AB52" s="13"/>
    </row>
    <row r="53" spans="5:28" x14ac:dyDescent="0.25">
      <c r="E53" s="108"/>
      <c r="F53" s="108"/>
      <c r="H53" s="101"/>
      <c r="O53" s="152"/>
      <c r="P53" s="13"/>
      <c r="Q53" s="13"/>
      <c r="AA53" s="13"/>
      <c r="AB53" s="13"/>
    </row>
    <row r="54" spans="5:28" x14ac:dyDescent="0.25">
      <c r="H54" s="280"/>
      <c r="O54" s="152"/>
      <c r="P54" s="13"/>
      <c r="Q54" s="13"/>
      <c r="AA54" s="13"/>
      <c r="AB54" s="13"/>
    </row>
    <row r="55" spans="5:28" x14ac:dyDescent="0.25">
      <c r="H55" s="280"/>
      <c r="I55" s="154"/>
      <c r="J55" s="154"/>
      <c r="K55" s="154"/>
      <c r="L55" s="154"/>
      <c r="M55" s="154"/>
      <c r="N55" s="154"/>
      <c r="O55" s="122"/>
      <c r="P55" s="13"/>
      <c r="Q55" s="13"/>
      <c r="R55" s="154"/>
      <c r="AA55" s="13"/>
      <c r="AB55" s="13"/>
    </row>
    <row r="56" spans="5:28" x14ac:dyDescent="0.25">
      <c r="H56" s="280"/>
      <c r="I56" s="154"/>
      <c r="J56" s="154"/>
      <c r="K56" s="154"/>
      <c r="L56" s="154"/>
      <c r="M56" s="154"/>
      <c r="N56" s="154"/>
      <c r="O56" s="122"/>
      <c r="P56" s="13"/>
      <c r="Q56" s="13"/>
      <c r="R56" s="154"/>
      <c r="AA56" s="13"/>
      <c r="AB56" s="13"/>
    </row>
    <row r="57" spans="5:28" x14ac:dyDescent="0.25">
      <c r="H57" s="280"/>
      <c r="O57" s="120"/>
      <c r="P57" s="13"/>
      <c r="Q57" s="13"/>
      <c r="AA57" s="13"/>
      <c r="AB57" s="13"/>
    </row>
    <row r="58" spans="5:28" x14ac:dyDescent="0.25">
      <c r="H58" s="280"/>
      <c r="O58" s="152"/>
      <c r="P58" s="13"/>
      <c r="Q58" s="13"/>
      <c r="AA58" s="13"/>
      <c r="AB58" s="13"/>
    </row>
    <row r="59" spans="5:28" x14ac:dyDescent="0.25">
      <c r="O59" s="152"/>
      <c r="P59" s="13"/>
      <c r="Q59" s="13"/>
      <c r="AA59" s="13"/>
      <c r="AB59" s="13"/>
    </row>
    <row r="60" spans="5:28" x14ac:dyDescent="0.25">
      <c r="H60" s="280"/>
      <c r="I60" s="154"/>
      <c r="J60" s="154"/>
      <c r="K60" s="154"/>
      <c r="L60" s="154"/>
      <c r="M60" s="154"/>
      <c r="N60" s="154"/>
      <c r="O60" s="122"/>
      <c r="P60" s="13"/>
      <c r="Q60" s="13"/>
      <c r="R60" s="154"/>
      <c r="AA60" s="13"/>
      <c r="AB60" s="13"/>
    </row>
    <row r="61" spans="5:28" x14ac:dyDescent="0.25">
      <c r="H61" s="280"/>
      <c r="I61" s="108"/>
      <c r="J61" s="108"/>
      <c r="K61" s="108"/>
      <c r="L61" s="108"/>
      <c r="M61" s="108"/>
      <c r="N61" s="108"/>
      <c r="O61" s="122"/>
      <c r="P61" s="13"/>
      <c r="Q61" s="13"/>
      <c r="R61" s="108"/>
      <c r="AA61" s="13"/>
      <c r="AB61" s="13"/>
    </row>
    <row r="62" spans="5:28" x14ac:dyDescent="0.25">
      <c r="E62" s="108"/>
      <c r="F62" s="108"/>
      <c r="H62" s="101"/>
      <c r="O62" s="152"/>
      <c r="P62" s="13"/>
      <c r="Q62" s="13"/>
      <c r="AA62" s="13"/>
      <c r="AB62" s="13"/>
    </row>
    <row r="63" spans="5:28" x14ac:dyDescent="0.25">
      <c r="I63" s="108"/>
      <c r="J63" s="108"/>
      <c r="K63" s="108"/>
      <c r="L63" s="108"/>
      <c r="M63" s="108"/>
      <c r="N63" s="108"/>
      <c r="O63" s="122"/>
      <c r="P63" s="13"/>
      <c r="Q63" s="13"/>
      <c r="R63" s="108"/>
      <c r="AA63" s="13"/>
      <c r="AB63" s="13"/>
    </row>
    <row r="64" spans="5:28" x14ac:dyDescent="0.25">
      <c r="E64" s="154"/>
      <c r="F64" s="154"/>
      <c r="H64" s="280"/>
      <c r="O64" s="120"/>
      <c r="P64" s="13"/>
      <c r="Q64" s="13"/>
      <c r="AA64" s="13"/>
      <c r="AB64" s="13"/>
    </row>
    <row r="65" spans="5:28" x14ac:dyDescent="0.25">
      <c r="H65" s="280"/>
      <c r="O65" s="120"/>
      <c r="P65" s="13"/>
      <c r="Q65" s="13"/>
      <c r="AA65" s="13"/>
      <c r="AB65" s="13"/>
    </row>
    <row r="66" spans="5:28" x14ac:dyDescent="0.25">
      <c r="E66" s="154"/>
      <c r="F66" s="154"/>
      <c r="H66" s="280"/>
      <c r="O66" s="120"/>
      <c r="P66" s="13"/>
      <c r="Q66" s="13"/>
      <c r="AA66" s="13"/>
      <c r="AB66" s="13"/>
    </row>
    <row r="67" spans="5:28" x14ac:dyDescent="0.25">
      <c r="H67" s="280"/>
      <c r="O67" s="152"/>
      <c r="P67" s="13"/>
      <c r="Q67" s="13"/>
      <c r="AA67" s="13"/>
      <c r="AB67" s="13"/>
    </row>
    <row r="68" spans="5:28" x14ac:dyDescent="0.25">
      <c r="H68" s="280"/>
      <c r="O68" s="152"/>
      <c r="P68" s="13"/>
      <c r="Q68" s="13"/>
      <c r="AA68" s="13"/>
      <c r="AB68" s="13"/>
    </row>
    <row r="69" spans="5:28" x14ac:dyDescent="0.25">
      <c r="E69" s="154"/>
      <c r="F69" s="154"/>
      <c r="H69" s="280"/>
      <c r="O69" s="120"/>
      <c r="P69" s="13"/>
      <c r="Q69" s="13"/>
      <c r="AA69" s="13"/>
      <c r="AB69" s="13"/>
    </row>
    <row r="70" spans="5:28" x14ac:dyDescent="0.25">
      <c r="H70" s="280"/>
      <c r="O70" s="152"/>
      <c r="P70" s="13"/>
      <c r="Q70" s="13"/>
      <c r="AA70" s="13"/>
      <c r="AB70" s="13"/>
    </row>
    <row r="71" spans="5:28" x14ac:dyDescent="0.25">
      <c r="E71" s="154"/>
      <c r="F71" s="154"/>
      <c r="H71" s="280"/>
      <c r="O71" s="120"/>
      <c r="P71" s="13"/>
      <c r="Q71" s="13"/>
      <c r="AA71" s="13"/>
      <c r="AB71" s="13"/>
    </row>
    <row r="72" spans="5:28" x14ac:dyDescent="0.25">
      <c r="E72" s="154"/>
      <c r="F72" s="154"/>
      <c r="I72" s="108"/>
      <c r="J72" s="108"/>
      <c r="K72" s="108"/>
      <c r="L72" s="108"/>
      <c r="M72" s="108"/>
      <c r="N72" s="108"/>
      <c r="O72" s="122"/>
      <c r="P72" s="13"/>
      <c r="Q72" s="13"/>
      <c r="R72" s="108"/>
      <c r="AA72" s="13"/>
      <c r="AB72" s="13"/>
    </row>
    <row r="73" spans="5:28" x14ac:dyDescent="0.25">
      <c r="E73" s="108"/>
      <c r="F73" s="108"/>
      <c r="H73" s="101"/>
      <c r="I73" s="154"/>
      <c r="J73" s="154"/>
      <c r="K73" s="154"/>
      <c r="L73" s="154"/>
      <c r="M73" s="154"/>
      <c r="N73" s="154"/>
      <c r="O73" s="122"/>
      <c r="P73" s="13"/>
      <c r="Q73" s="13"/>
      <c r="R73" s="154"/>
      <c r="AA73" s="13"/>
      <c r="AB73" s="13"/>
    </row>
    <row r="74" spans="5:28" x14ac:dyDescent="0.25">
      <c r="O74" s="120"/>
      <c r="P74" s="13"/>
      <c r="Q74" s="13"/>
      <c r="AA74" s="13"/>
      <c r="AB74" s="13"/>
    </row>
    <row r="75" spans="5:28" x14ac:dyDescent="0.25">
      <c r="O75" s="120"/>
      <c r="P75" s="13"/>
      <c r="Q75" s="13"/>
      <c r="AA75" s="13"/>
      <c r="AB75" s="13"/>
    </row>
    <row r="76" spans="5:28" x14ac:dyDescent="0.25">
      <c r="H76" s="280"/>
      <c r="I76" s="154"/>
      <c r="J76" s="154"/>
      <c r="K76" s="154"/>
      <c r="L76" s="154"/>
      <c r="M76" s="154"/>
      <c r="N76" s="154"/>
      <c r="O76" s="152"/>
      <c r="P76" s="13"/>
      <c r="Q76" s="13"/>
      <c r="R76" s="154"/>
      <c r="AA76" s="13"/>
      <c r="AB76" s="13"/>
    </row>
    <row r="77" spans="5:28" x14ac:dyDescent="0.25">
      <c r="E77" s="154"/>
      <c r="F77" s="154"/>
      <c r="H77" s="280"/>
      <c r="I77" s="154"/>
      <c r="J77" s="154"/>
      <c r="K77" s="154"/>
      <c r="L77" s="154"/>
      <c r="M77" s="154"/>
      <c r="N77" s="154"/>
      <c r="O77" s="152"/>
      <c r="P77" s="13"/>
      <c r="Q77" s="13"/>
      <c r="R77" s="154"/>
      <c r="AA77" s="13"/>
      <c r="AB77" s="13"/>
    </row>
    <row r="78" spans="5:28" x14ac:dyDescent="0.25">
      <c r="O78" s="120"/>
      <c r="P78" s="13"/>
      <c r="Q78" s="13"/>
      <c r="AA78" s="13"/>
      <c r="AB78" s="13"/>
    </row>
    <row r="79" spans="5:28" x14ac:dyDescent="0.25">
      <c r="E79" s="154"/>
      <c r="F79" s="154"/>
      <c r="O79" s="120"/>
      <c r="P79" s="13"/>
      <c r="Q79" s="13"/>
      <c r="AA79" s="13"/>
      <c r="AB79" s="13"/>
    </row>
    <row r="80" spans="5:28" x14ac:dyDescent="0.25">
      <c r="E80" s="108"/>
      <c r="F80" s="108"/>
      <c r="H80" s="101"/>
      <c r="I80" s="154"/>
      <c r="J80" s="154"/>
      <c r="K80" s="154"/>
      <c r="L80" s="154"/>
      <c r="M80" s="154"/>
      <c r="N80" s="154"/>
      <c r="O80" s="122"/>
      <c r="P80" s="13"/>
      <c r="Q80" s="13"/>
      <c r="R80" s="154"/>
      <c r="AA80" s="13"/>
      <c r="AB80" s="13"/>
    </row>
    <row r="81" spans="5:28" x14ac:dyDescent="0.25">
      <c r="E81" s="154"/>
      <c r="F81" s="154"/>
      <c r="H81" s="280"/>
      <c r="O81" s="120"/>
      <c r="P81" s="13"/>
      <c r="Q81" s="13"/>
      <c r="AA81" s="13"/>
      <c r="AB81" s="13"/>
    </row>
    <row r="82" spans="5:28" x14ac:dyDescent="0.25">
      <c r="E82" s="154"/>
      <c r="F82" s="154"/>
      <c r="O82" s="120"/>
      <c r="P82" s="13"/>
      <c r="Q82" s="13"/>
      <c r="AA82" s="13"/>
      <c r="AB82" s="13"/>
    </row>
    <row r="83" spans="5:28" x14ac:dyDescent="0.25">
      <c r="H83" s="280"/>
      <c r="I83" s="154"/>
      <c r="J83" s="154"/>
      <c r="K83" s="154"/>
      <c r="L83" s="154"/>
      <c r="M83" s="154"/>
      <c r="N83" s="154"/>
      <c r="O83" s="152"/>
      <c r="P83" s="13"/>
      <c r="Q83" s="13"/>
      <c r="R83" s="154"/>
      <c r="AA83" s="13"/>
      <c r="AB83" s="13"/>
    </row>
    <row r="84" spans="5:28" x14ac:dyDescent="0.25">
      <c r="H84" s="280"/>
      <c r="O84" s="120"/>
      <c r="P84" s="13"/>
      <c r="Q84" s="13"/>
      <c r="AA84" s="13"/>
      <c r="AB84" s="13"/>
    </row>
    <row r="85" spans="5:28" x14ac:dyDescent="0.25">
      <c r="E85" s="250"/>
      <c r="F85" s="250"/>
      <c r="I85" s="154"/>
      <c r="J85" s="154"/>
      <c r="K85" s="154"/>
      <c r="L85" s="154"/>
      <c r="M85" s="154"/>
      <c r="N85" s="154"/>
      <c r="O85" s="152"/>
      <c r="P85" s="13"/>
      <c r="Q85" s="13"/>
      <c r="R85" s="154"/>
      <c r="AA85" s="13"/>
      <c r="AB85" s="13"/>
    </row>
    <row r="86" spans="5:28" x14ac:dyDescent="0.25">
      <c r="E86" s="154"/>
      <c r="F86" s="154"/>
      <c r="I86" s="108"/>
      <c r="J86" s="108"/>
      <c r="K86" s="108"/>
      <c r="L86" s="108"/>
      <c r="M86" s="108"/>
      <c r="N86" s="108"/>
      <c r="O86" s="122"/>
      <c r="P86" s="13"/>
      <c r="Q86" s="13"/>
      <c r="R86" s="108"/>
      <c r="AA86" s="13"/>
      <c r="AB86" s="13"/>
    </row>
    <row r="87" spans="5:28" x14ac:dyDescent="0.25">
      <c r="H87" s="280"/>
      <c r="O87" s="152"/>
      <c r="P87" s="13"/>
      <c r="Q87" s="13"/>
      <c r="AA87" s="13"/>
      <c r="AB87" s="13"/>
    </row>
    <row r="88" spans="5:28" x14ac:dyDescent="0.25">
      <c r="E88" s="154"/>
      <c r="F88" s="154"/>
      <c r="I88" s="154"/>
      <c r="J88" s="154"/>
      <c r="K88" s="154"/>
      <c r="L88" s="154"/>
      <c r="M88" s="154"/>
      <c r="N88" s="154"/>
      <c r="O88" s="122"/>
      <c r="P88" s="13"/>
      <c r="Q88" s="13"/>
      <c r="R88" s="154"/>
      <c r="AA88" s="13"/>
      <c r="AB88" s="13"/>
    </row>
    <row r="89" spans="5:28" x14ac:dyDescent="0.25">
      <c r="H89" s="280"/>
      <c r="O89" s="120"/>
      <c r="P89" s="13"/>
      <c r="Q89" s="13"/>
      <c r="AA89" s="13"/>
      <c r="AB89" s="13"/>
    </row>
    <row r="90" spans="5:28" x14ac:dyDescent="0.25">
      <c r="E90" s="154"/>
      <c r="F90" s="154"/>
      <c r="O90" s="120"/>
      <c r="P90" s="13"/>
      <c r="Q90" s="13"/>
      <c r="AA90" s="13"/>
      <c r="AB90" s="13"/>
    </row>
    <row r="91" spans="5:28" x14ac:dyDescent="0.25">
      <c r="H91" s="280"/>
      <c r="I91" s="154"/>
      <c r="J91" s="154"/>
      <c r="K91" s="154"/>
      <c r="L91" s="154"/>
      <c r="M91" s="154"/>
      <c r="N91" s="154"/>
      <c r="O91" s="152"/>
      <c r="P91" s="13"/>
      <c r="Q91" s="13"/>
      <c r="R91" s="154"/>
      <c r="AA91" s="13"/>
      <c r="AB91" s="13"/>
    </row>
    <row r="92" spans="5:28" x14ac:dyDescent="0.25">
      <c r="E92" s="154"/>
      <c r="F92" s="154"/>
      <c r="I92" s="154"/>
      <c r="J92" s="154"/>
      <c r="K92" s="154"/>
      <c r="L92" s="154"/>
      <c r="M92" s="154"/>
      <c r="N92" s="154"/>
      <c r="O92" s="152"/>
      <c r="P92" s="13"/>
      <c r="Q92" s="13"/>
      <c r="R92" s="154"/>
      <c r="AA92" s="13"/>
      <c r="AB92" s="13"/>
    </row>
    <row r="93" spans="5:28" x14ac:dyDescent="0.25">
      <c r="E93" s="154"/>
      <c r="F93" s="154"/>
      <c r="I93" s="108"/>
      <c r="J93" s="108"/>
      <c r="K93" s="108"/>
      <c r="L93" s="108"/>
      <c r="M93" s="108"/>
      <c r="N93" s="108"/>
      <c r="O93" s="122"/>
      <c r="P93" s="13"/>
      <c r="Q93" s="13"/>
      <c r="R93" s="108"/>
      <c r="AA93" s="13"/>
      <c r="AB93" s="13"/>
    </row>
    <row r="94" spans="5:28" x14ac:dyDescent="0.25">
      <c r="H94" s="280"/>
      <c r="I94" s="154"/>
      <c r="J94" s="154"/>
      <c r="K94" s="154"/>
      <c r="L94" s="154"/>
      <c r="M94" s="154"/>
      <c r="N94" s="154"/>
      <c r="O94" s="152"/>
      <c r="P94" s="13"/>
      <c r="Q94" s="13"/>
      <c r="R94" s="154"/>
      <c r="AA94" s="13"/>
      <c r="AB94" s="13"/>
    </row>
    <row r="95" spans="5:28" x14ac:dyDescent="0.25">
      <c r="H95" s="280"/>
      <c r="I95" s="154"/>
      <c r="J95" s="154"/>
      <c r="K95" s="154"/>
      <c r="L95" s="154"/>
      <c r="M95" s="154"/>
      <c r="N95" s="154"/>
      <c r="O95" s="152"/>
      <c r="P95" s="13"/>
      <c r="Q95" s="13"/>
      <c r="R95" s="154"/>
      <c r="AA95" s="13"/>
      <c r="AB95" s="13"/>
    </row>
    <row r="96" spans="5:28" x14ac:dyDescent="0.25">
      <c r="E96" s="108"/>
      <c r="F96" s="108"/>
      <c r="H96" s="101"/>
      <c r="O96" s="120"/>
      <c r="P96" s="13"/>
      <c r="Q96" s="13"/>
      <c r="AA96" s="13"/>
      <c r="AB96" s="13"/>
    </row>
    <row r="97" spans="5:28" x14ac:dyDescent="0.25">
      <c r="E97" s="154"/>
      <c r="F97" s="154"/>
      <c r="H97" s="280"/>
      <c r="O97" s="120"/>
      <c r="P97" s="13"/>
      <c r="Q97" s="13"/>
      <c r="AA97" s="13"/>
      <c r="AB97" s="13"/>
    </row>
    <row r="98" spans="5:28" x14ac:dyDescent="0.25">
      <c r="H98" s="280"/>
      <c r="O98" s="152"/>
      <c r="P98" s="13"/>
      <c r="Q98" s="13"/>
      <c r="AA98" s="13"/>
      <c r="AB98" s="13"/>
    </row>
    <row r="99" spans="5:28" x14ac:dyDescent="0.25">
      <c r="O99" s="152"/>
      <c r="P99" s="13"/>
      <c r="Q99" s="13"/>
      <c r="AA99" s="13"/>
      <c r="AB99" s="13"/>
    </row>
    <row r="100" spans="5:28" x14ac:dyDescent="0.25">
      <c r="H100" s="280"/>
      <c r="O100" s="120"/>
      <c r="P100" s="13"/>
      <c r="Q100" s="13"/>
      <c r="AA100" s="13"/>
      <c r="AB100" s="13"/>
    </row>
    <row r="101" spans="5:28" x14ac:dyDescent="0.25">
      <c r="E101" s="154"/>
      <c r="F101" s="154"/>
      <c r="H101" s="280"/>
      <c r="I101" s="154"/>
      <c r="J101" s="154"/>
      <c r="K101" s="154"/>
      <c r="L101" s="154"/>
      <c r="M101" s="154"/>
      <c r="N101" s="154"/>
      <c r="O101" s="152"/>
      <c r="P101" s="13"/>
      <c r="Q101" s="13"/>
      <c r="R101" s="154"/>
      <c r="AA101" s="13"/>
      <c r="AB101" s="13"/>
    </row>
    <row r="102" spans="5:28" x14ac:dyDescent="0.25">
      <c r="E102" s="154"/>
      <c r="F102" s="154"/>
      <c r="H102" s="280"/>
      <c r="O102" s="120"/>
      <c r="P102" s="13"/>
      <c r="Q102" s="13"/>
      <c r="AA102" s="13"/>
      <c r="AB102" s="13"/>
    </row>
    <row r="103" spans="5:28" x14ac:dyDescent="0.25">
      <c r="O103" s="120"/>
      <c r="P103" s="13"/>
      <c r="Q103" s="13"/>
      <c r="AA103" s="13"/>
      <c r="AB103" s="13"/>
    </row>
    <row r="104" spans="5:28" x14ac:dyDescent="0.25">
      <c r="O104" s="120"/>
      <c r="P104" s="13"/>
      <c r="Q104" s="13"/>
      <c r="AA104" s="13"/>
      <c r="AB104" s="13"/>
    </row>
    <row r="105" spans="5:28" x14ac:dyDescent="0.25">
      <c r="E105" s="154"/>
      <c r="F105" s="154"/>
      <c r="H105" s="280"/>
      <c r="O105" s="152"/>
      <c r="P105" s="13"/>
      <c r="Q105" s="13"/>
      <c r="AA105" s="13"/>
      <c r="AB105" s="13"/>
    </row>
    <row r="106" spans="5:28" x14ac:dyDescent="0.25">
      <c r="O106" s="152"/>
      <c r="P106" s="13"/>
      <c r="Q106" s="13"/>
      <c r="AA106" s="13"/>
      <c r="AB106" s="13"/>
    </row>
    <row r="107" spans="5:28" x14ac:dyDescent="0.25">
      <c r="E107" s="108"/>
      <c r="F107" s="108"/>
      <c r="H107" s="101"/>
      <c r="O107" s="152"/>
      <c r="P107" s="13"/>
      <c r="Q107" s="13"/>
      <c r="AA107" s="13"/>
      <c r="AB107" s="13"/>
    </row>
    <row r="108" spans="5:28" x14ac:dyDescent="0.25">
      <c r="I108" s="108"/>
      <c r="J108" s="108"/>
      <c r="K108" s="108"/>
      <c r="L108" s="108"/>
      <c r="M108" s="108"/>
      <c r="N108" s="108"/>
      <c r="O108" s="122"/>
      <c r="P108" s="13"/>
      <c r="Q108" s="13"/>
      <c r="R108" s="108"/>
      <c r="AA108" s="13"/>
      <c r="AB108" s="13"/>
    </row>
    <row r="109" spans="5:28" x14ac:dyDescent="0.25">
      <c r="E109" s="108"/>
      <c r="F109" s="108"/>
      <c r="H109" s="101"/>
      <c r="I109" s="154"/>
      <c r="J109" s="154"/>
      <c r="K109" s="154"/>
      <c r="L109" s="154"/>
      <c r="M109" s="154"/>
      <c r="N109" s="154"/>
      <c r="O109" s="122"/>
      <c r="P109" s="13"/>
      <c r="Q109" s="13"/>
      <c r="R109" s="154"/>
      <c r="AA109" s="13"/>
      <c r="AB109" s="13"/>
    </row>
    <row r="110" spans="5:28" x14ac:dyDescent="0.25">
      <c r="O110" s="120"/>
      <c r="P110" s="13"/>
      <c r="Q110" s="13"/>
      <c r="AA110" s="13"/>
      <c r="AB110" s="13"/>
    </row>
    <row r="111" spans="5:28" x14ac:dyDescent="0.25">
      <c r="E111" s="154"/>
      <c r="F111" s="154"/>
      <c r="H111" s="280"/>
      <c r="O111" s="152"/>
      <c r="P111" s="13"/>
      <c r="Q111" s="13"/>
      <c r="AA111" s="13"/>
      <c r="AB111" s="13"/>
    </row>
    <row r="112" spans="5:28" x14ac:dyDescent="0.25">
      <c r="H112" s="280"/>
      <c r="O112" s="152"/>
      <c r="P112" s="13"/>
      <c r="Q112" s="13"/>
      <c r="AA112" s="13"/>
      <c r="AB112" s="13"/>
    </row>
    <row r="113" spans="5:28" x14ac:dyDescent="0.25">
      <c r="H113" s="280"/>
      <c r="O113" s="120"/>
      <c r="P113" s="13"/>
      <c r="Q113" s="13"/>
      <c r="AA113" s="13"/>
      <c r="AB113" s="13"/>
    </row>
    <row r="114" spans="5:28" x14ac:dyDescent="0.25">
      <c r="I114" s="154"/>
      <c r="J114" s="154"/>
      <c r="K114" s="154"/>
      <c r="L114" s="154"/>
      <c r="M114" s="154"/>
      <c r="N114" s="154"/>
      <c r="O114" s="122"/>
      <c r="P114" s="13"/>
      <c r="Q114" s="13"/>
      <c r="R114" s="154"/>
      <c r="AA114" s="13"/>
      <c r="AB114" s="13"/>
    </row>
    <row r="115" spans="5:28" x14ac:dyDescent="0.25">
      <c r="H115" s="280"/>
      <c r="I115" s="154"/>
      <c r="J115" s="154"/>
      <c r="K115" s="154"/>
      <c r="L115" s="154"/>
      <c r="M115" s="154"/>
      <c r="N115" s="154"/>
      <c r="O115" s="122"/>
      <c r="P115" s="13"/>
      <c r="Q115" s="13"/>
      <c r="R115" s="154"/>
      <c r="AA115" s="13"/>
      <c r="AB115" s="13"/>
    </row>
    <row r="116" spans="5:28" x14ac:dyDescent="0.25">
      <c r="H116" s="280"/>
      <c r="O116" s="152"/>
      <c r="P116" s="13"/>
      <c r="Q116" s="13"/>
      <c r="AA116" s="13"/>
      <c r="AB116" s="13"/>
    </row>
    <row r="117" spans="5:28" x14ac:dyDescent="0.25">
      <c r="O117" s="120"/>
      <c r="P117" s="13"/>
      <c r="Q117" s="13"/>
      <c r="AA117" s="13"/>
      <c r="AB117" s="13"/>
    </row>
    <row r="118" spans="5:28" x14ac:dyDescent="0.25">
      <c r="E118" s="108"/>
      <c r="F118" s="108"/>
      <c r="H118" s="101"/>
      <c r="O118" s="120"/>
      <c r="P118" s="13"/>
      <c r="Q118" s="13"/>
      <c r="AA118" s="13"/>
      <c r="AB118" s="13"/>
    </row>
    <row r="119" spans="5:28" x14ac:dyDescent="0.25">
      <c r="E119" s="108"/>
      <c r="F119" s="108"/>
      <c r="H119" s="101"/>
      <c r="O119" s="152"/>
      <c r="P119" s="13"/>
      <c r="Q119" s="13"/>
      <c r="AA119" s="13"/>
      <c r="AB119" s="13"/>
    </row>
    <row r="120" spans="5:28" x14ac:dyDescent="0.25">
      <c r="H120" s="280"/>
      <c r="O120" s="120"/>
      <c r="P120" s="13"/>
      <c r="Q120" s="13"/>
      <c r="AA120" s="13"/>
      <c r="AB120" s="13"/>
    </row>
    <row r="121" spans="5:28" x14ac:dyDescent="0.25">
      <c r="H121" s="280"/>
      <c r="I121" s="154"/>
      <c r="J121" s="154"/>
      <c r="K121" s="154"/>
      <c r="L121" s="154"/>
      <c r="M121" s="154"/>
      <c r="N121" s="154"/>
      <c r="O121" s="122"/>
      <c r="P121" s="13"/>
      <c r="Q121" s="13"/>
      <c r="R121" s="154"/>
      <c r="AA121" s="13"/>
      <c r="AB121" s="13"/>
    </row>
    <row r="122" spans="5:28" x14ac:dyDescent="0.25">
      <c r="H122" s="280"/>
      <c r="I122" s="108"/>
      <c r="J122" s="108"/>
      <c r="K122" s="108"/>
      <c r="L122" s="108"/>
      <c r="M122" s="108"/>
      <c r="N122" s="108"/>
      <c r="O122" s="122"/>
      <c r="P122" s="13"/>
      <c r="Q122" s="13"/>
      <c r="R122" s="108"/>
      <c r="AA122" s="13"/>
      <c r="AB122" s="13"/>
    </row>
    <row r="123" spans="5:28" x14ac:dyDescent="0.25">
      <c r="H123" s="280"/>
      <c r="O123" s="152"/>
      <c r="P123" s="13"/>
      <c r="Q123" s="13"/>
      <c r="AA123" s="13"/>
      <c r="AB123" s="13"/>
    </row>
    <row r="124" spans="5:28" x14ac:dyDescent="0.25">
      <c r="H124" s="280"/>
      <c r="O124" s="152"/>
      <c r="P124" s="13"/>
      <c r="Q124" s="13"/>
      <c r="AA124" s="13"/>
      <c r="AB124" s="13"/>
    </row>
    <row r="125" spans="5:28" x14ac:dyDescent="0.25">
      <c r="H125" s="280"/>
      <c r="I125" s="154"/>
      <c r="J125" s="154"/>
      <c r="K125" s="154"/>
      <c r="L125" s="154"/>
      <c r="M125" s="154"/>
      <c r="N125" s="154"/>
      <c r="O125" s="122"/>
      <c r="P125" s="13"/>
      <c r="Q125" s="13"/>
      <c r="R125" s="154"/>
      <c r="AA125" s="13"/>
      <c r="AB125" s="13"/>
    </row>
    <row r="126" spans="5:28" x14ac:dyDescent="0.25">
      <c r="O126" s="152"/>
      <c r="P126" s="13"/>
      <c r="Q126" s="13"/>
      <c r="AA126" s="13"/>
      <c r="AB126" s="13"/>
    </row>
    <row r="127" spans="5:28" x14ac:dyDescent="0.25">
      <c r="O127" s="120"/>
      <c r="P127" s="13"/>
      <c r="Q127" s="13"/>
      <c r="AA127" s="13"/>
      <c r="AB127" s="13"/>
    </row>
    <row r="128" spans="5:28" x14ac:dyDescent="0.25">
      <c r="O128" s="120"/>
      <c r="P128" s="13"/>
      <c r="Q128" s="13"/>
      <c r="AA128" s="13"/>
      <c r="AB128" s="13"/>
    </row>
    <row r="129" spans="5:28" x14ac:dyDescent="0.25">
      <c r="H129" s="280"/>
      <c r="O129" s="152"/>
      <c r="P129" s="13"/>
      <c r="Q129" s="13"/>
      <c r="AA129" s="13"/>
      <c r="AB129" s="13"/>
    </row>
    <row r="130" spans="5:28" x14ac:dyDescent="0.25">
      <c r="H130" s="280"/>
      <c r="O130" s="120"/>
      <c r="P130" s="13"/>
      <c r="Q130" s="13"/>
      <c r="AA130" s="13"/>
      <c r="AB130" s="13"/>
    </row>
    <row r="131" spans="5:28" x14ac:dyDescent="0.25">
      <c r="O131" s="152"/>
      <c r="P131" s="13"/>
      <c r="Q131" s="13"/>
      <c r="AA131" s="13"/>
      <c r="AB131" s="13"/>
    </row>
    <row r="132" spans="5:28" x14ac:dyDescent="0.25">
      <c r="H132" s="280"/>
      <c r="O132" s="120"/>
      <c r="P132" s="13"/>
      <c r="Q132" s="13"/>
      <c r="AA132" s="13"/>
      <c r="AB132" s="13"/>
    </row>
    <row r="133" spans="5:28" x14ac:dyDescent="0.25">
      <c r="O133" s="152"/>
      <c r="P133" s="13"/>
      <c r="Q133" s="13"/>
      <c r="AA133" s="13"/>
      <c r="AB133" s="13"/>
    </row>
    <row r="134" spans="5:28" x14ac:dyDescent="0.25">
      <c r="O134" s="152"/>
      <c r="P134" s="13"/>
      <c r="Q134" s="13"/>
      <c r="AA134" s="13"/>
      <c r="AB134" s="13"/>
    </row>
    <row r="135" spans="5:28" x14ac:dyDescent="0.25">
      <c r="I135" s="108"/>
      <c r="J135" s="108"/>
      <c r="K135" s="108"/>
      <c r="L135" s="108"/>
      <c r="M135" s="108"/>
      <c r="N135" s="108"/>
      <c r="O135" s="122"/>
      <c r="P135" s="13"/>
      <c r="Q135" s="13"/>
      <c r="R135" s="108"/>
      <c r="AA135" s="13"/>
      <c r="AB135" s="13"/>
    </row>
    <row r="136" spans="5:28" x14ac:dyDescent="0.25">
      <c r="H136" s="280"/>
      <c r="O136" s="152"/>
      <c r="P136" s="13"/>
      <c r="Q136" s="13"/>
      <c r="AA136" s="13"/>
      <c r="AB136" s="13"/>
    </row>
    <row r="137" spans="5:28" x14ac:dyDescent="0.25">
      <c r="H137" s="280"/>
      <c r="O137" s="120"/>
      <c r="P137" s="13"/>
      <c r="Q137" s="13"/>
      <c r="AA137" s="13"/>
      <c r="AB137" s="13"/>
    </row>
    <row r="138" spans="5:28" x14ac:dyDescent="0.25">
      <c r="E138" s="154"/>
      <c r="F138" s="154"/>
      <c r="H138" s="280"/>
      <c r="O138" s="152"/>
      <c r="P138" s="13"/>
      <c r="Q138" s="13"/>
      <c r="AA138" s="13"/>
      <c r="AB138" s="13"/>
    </row>
    <row r="139" spans="5:28" x14ac:dyDescent="0.25">
      <c r="O139" s="152"/>
      <c r="P139" s="13"/>
      <c r="Q139" s="13"/>
      <c r="AA139" s="13"/>
      <c r="AB139" s="13"/>
    </row>
    <row r="140" spans="5:28" x14ac:dyDescent="0.25">
      <c r="E140" s="108"/>
      <c r="F140" s="108"/>
      <c r="O140" s="120"/>
      <c r="P140" s="13"/>
      <c r="Q140" s="13"/>
      <c r="AA140" s="13"/>
      <c r="AB140" s="13"/>
    </row>
    <row r="141" spans="5:28" x14ac:dyDescent="0.25">
      <c r="E141" s="108"/>
      <c r="F141" s="108"/>
      <c r="O141" s="152"/>
      <c r="P141" s="13"/>
      <c r="Q141" s="13"/>
      <c r="AA141" s="13"/>
      <c r="AB141" s="13"/>
    </row>
    <row r="142" spans="5:28" x14ac:dyDescent="0.25">
      <c r="H142" s="280"/>
      <c r="O142" s="152"/>
      <c r="P142" s="13"/>
      <c r="Q142" s="13"/>
      <c r="AA142" s="13"/>
      <c r="AB142" s="13"/>
    </row>
    <row r="143" spans="5:28" x14ac:dyDescent="0.25">
      <c r="E143" s="154"/>
      <c r="F143" s="154"/>
      <c r="H143" s="280"/>
      <c r="O143" s="152"/>
      <c r="P143" s="13"/>
      <c r="Q143" s="13"/>
      <c r="AA143" s="13"/>
      <c r="AB143" s="13"/>
    </row>
    <row r="144" spans="5:28" x14ac:dyDescent="0.25">
      <c r="H144" s="280"/>
      <c r="O144" s="120"/>
      <c r="P144" s="13"/>
      <c r="Q144" s="13"/>
      <c r="AA144" s="13"/>
      <c r="AB144" s="13"/>
    </row>
    <row r="145" spans="5:28" x14ac:dyDescent="0.25">
      <c r="H145" s="280"/>
      <c r="O145" s="120"/>
      <c r="P145" s="13"/>
      <c r="Q145" s="13"/>
      <c r="AA145" s="13"/>
      <c r="AB145" s="13"/>
    </row>
    <row r="146" spans="5:28" x14ac:dyDescent="0.25">
      <c r="H146" s="280"/>
      <c r="O146" s="120"/>
      <c r="P146" s="13"/>
      <c r="Q146" s="13"/>
      <c r="AA146" s="13"/>
      <c r="AB146" s="13"/>
    </row>
    <row r="147" spans="5:28" x14ac:dyDescent="0.25">
      <c r="E147" s="154"/>
      <c r="F147" s="154"/>
      <c r="H147" s="280"/>
      <c r="O147" s="152"/>
      <c r="P147" s="13"/>
      <c r="Q147" s="13"/>
      <c r="AA147" s="13"/>
      <c r="AB147" s="13"/>
    </row>
    <row r="148" spans="5:28" x14ac:dyDescent="0.25">
      <c r="H148" s="280"/>
      <c r="O148" s="152"/>
      <c r="P148" s="13"/>
      <c r="Q148" s="13"/>
      <c r="AA148" s="13"/>
      <c r="AB148" s="13"/>
    </row>
    <row r="149" spans="5:28" x14ac:dyDescent="0.25">
      <c r="O149" s="120"/>
      <c r="P149" s="13"/>
      <c r="Q149" s="13"/>
      <c r="AA149" s="13"/>
      <c r="AB149" s="13"/>
    </row>
    <row r="150" spans="5:28" x14ac:dyDescent="0.25">
      <c r="H150" s="280"/>
      <c r="O150" s="152"/>
      <c r="P150" s="13"/>
      <c r="Q150" s="13"/>
      <c r="AA150" s="13"/>
      <c r="AB150" s="13"/>
    </row>
    <row r="151" spans="5:28" x14ac:dyDescent="0.25">
      <c r="O151" s="152"/>
      <c r="P151" s="13"/>
      <c r="Q151" s="13"/>
      <c r="AA151" s="13"/>
      <c r="AB151" s="13"/>
    </row>
    <row r="152" spans="5:28" x14ac:dyDescent="0.25">
      <c r="H152" s="280"/>
      <c r="O152" s="152"/>
      <c r="P152" s="13"/>
      <c r="Q152" s="13"/>
      <c r="AA152" s="13"/>
      <c r="AB152" s="13"/>
    </row>
    <row r="153" spans="5:28" x14ac:dyDescent="0.25">
      <c r="H153" s="280"/>
      <c r="O153" s="120"/>
      <c r="P153" s="13"/>
      <c r="Q153" s="13"/>
      <c r="AA153" s="13"/>
      <c r="AB153" s="13"/>
    </row>
    <row r="154" spans="5:28" x14ac:dyDescent="0.25">
      <c r="E154" s="108"/>
      <c r="F154" s="108"/>
      <c r="H154" s="101"/>
      <c r="O154" s="120"/>
      <c r="P154" s="13"/>
      <c r="Q154" s="13"/>
      <c r="AA154" s="13"/>
      <c r="AB154" s="13"/>
    </row>
    <row r="155" spans="5:28" x14ac:dyDescent="0.25">
      <c r="H155" s="280"/>
      <c r="O155" s="152"/>
      <c r="P155" s="13"/>
      <c r="Q155" s="13"/>
      <c r="AA155" s="13"/>
      <c r="AB155" s="13"/>
    </row>
    <row r="156" spans="5:28" x14ac:dyDescent="0.25">
      <c r="O156" s="120"/>
      <c r="P156" s="13"/>
      <c r="Q156" s="13"/>
      <c r="AA156" s="13"/>
      <c r="AB156" s="13"/>
    </row>
    <row r="157" spans="5:28" x14ac:dyDescent="0.25">
      <c r="E157" s="108"/>
      <c r="F157" s="108"/>
      <c r="H157" s="101"/>
      <c r="O157" s="152"/>
      <c r="P157" s="13"/>
      <c r="Q157" s="13"/>
      <c r="AA157" s="13"/>
      <c r="AB157" s="13"/>
    </row>
    <row r="158" spans="5:28" x14ac:dyDescent="0.25">
      <c r="O158" s="120"/>
      <c r="P158" s="13"/>
      <c r="Q158" s="13"/>
      <c r="AA158" s="13"/>
      <c r="AB158" s="13"/>
    </row>
    <row r="159" spans="5:28" x14ac:dyDescent="0.25">
      <c r="E159" s="154"/>
      <c r="F159" s="154"/>
      <c r="H159" s="280"/>
      <c r="I159" s="154"/>
      <c r="J159" s="154"/>
      <c r="K159" s="154"/>
      <c r="L159" s="154"/>
      <c r="M159" s="154"/>
      <c r="N159" s="154"/>
      <c r="O159" s="122"/>
      <c r="P159" s="13"/>
      <c r="Q159" s="13"/>
      <c r="R159" s="154"/>
      <c r="AA159" s="13"/>
      <c r="AB159" s="13"/>
    </row>
    <row r="160" spans="5:28" x14ac:dyDescent="0.25">
      <c r="E160" s="154"/>
      <c r="F160" s="154"/>
      <c r="O160" s="120"/>
      <c r="P160" s="13"/>
      <c r="Q160" s="13"/>
      <c r="AA160" s="13"/>
      <c r="AB160" s="13"/>
    </row>
    <row r="161" spans="5:28" x14ac:dyDescent="0.25">
      <c r="H161" s="280"/>
      <c r="O161" s="120"/>
      <c r="P161" s="13"/>
      <c r="Q161" s="13"/>
      <c r="AA161" s="13"/>
      <c r="AB161" s="13"/>
    </row>
    <row r="162" spans="5:28" x14ac:dyDescent="0.25">
      <c r="H162" s="280"/>
      <c r="O162" s="152"/>
      <c r="P162" s="13"/>
      <c r="Q162" s="13"/>
      <c r="AA162" s="13"/>
      <c r="AB162" s="13"/>
    </row>
    <row r="163" spans="5:28" x14ac:dyDescent="0.25">
      <c r="H163" s="280"/>
      <c r="I163" s="154"/>
      <c r="J163" s="154"/>
      <c r="K163" s="154"/>
      <c r="L163" s="154"/>
      <c r="M163" s="154"/>
      <c r="N163" s="154"/>
      <c r="O163" s="122"/>
      <c r="P163" s="13"/>
      <c r="Q163" s="13"/>
      <c r="R163" s="154"/>
      <c r="AA163" s="13"/>
      <c r="AB163" s="13"/>
    </row>
    <row r="164" spans="5:28" x14ac:dyDescent="0.25">
      <c r="H164" s="280"/>
      <c r="O164" s="120"/>
      <c r="P164" s="13"/>
      <c r="Q164" s="13"/>
      <c r="AA164" s="13"/>
      <c r="AB164" s="13"/>
    </row>
    <row r="165" spans="5:28" x14ac:dyDescent="0.25">
      <c r="H165" s="280"/>
      <c r="O165" s="152"/>
      <c r="P165" s="13"/>
      <c r="Q165" s="13"/>
      <c r="AA165" s="13"/>
      <c r="AB165" s="13"/>
    </row>
    <row r="166" spans="5:28" x14ac:dyDescent="0.25">
      <c r="O166" s="120"/>
      <c r="P166" s="13"/>
      <c r="Q166" s="13"/>
      <c r="AA166" s="13"/>
      <c r="AB166" s="13"/>
    </row>
    <row r="167" spans="5:28" x14ac:dyDescent="0.25">
      <c r="E167" s="108"/>
      <c r="F167" s="108"/>
      <c r="H167" s="101"/>
      <c r="O167" s="120"/>
      <c r="P167" s="13"/>
      <c r="Q167" s="13"/>
      <c r="AA167" s="13"/>
      <c r="AB167" s="13"/>
    </row>
    <row r="168" spans="5:28" x14ac:dyDescent="0.25">
      <c r="H168" s="280"/>
      <c r="O168" s="120"/>
      <c r="P168" s="13"/>
      <c r="Q168" s="13"/>
      <c r="AA168" s="13"/>
      <c r="AB168" s="13"/>
    </row>
    <row r="169" spans="5:28" x14ac:dyDescent="0.25">
      <c r="H169" s="280"/>
      <c r="O169" s="120"/>
      <c r="P169" s="13"/>
      <c r="Q169" s="13"/>
      <c r="AA169" s="13"/>
      <c r="AB169" s="13"/>
    </row>
    <row r="170" spans="5:28" x14ac:dyDescent="0.25">
      <c r="E170" s="108"/>
      <c r="F170" s="108"/>
      <c r="H170" s="101"/>
      <c r="O170" s="120"/>
      <c r="P170" s="13"/>
      <c r="Q170" s="13"/>
      <c r="AA170" s="13"/>
      <c r="AB170" s="13"/>
    </row>
    <row r="171" spans="5:28" x14ac:dyDescent="0.25">
      <c r="I171" s="154"/>
      <c r="J171" s="154"/>
      <c r="K171" s="154"/>
      <c r="L171" s="154"/>
      <c r="M171" s="154"/>
      <c r="N171" s="154"/>
      <c r="O171" s="122"/>
      <c r="P171" s="13"/>
      <c r="Q171" s="13"/>
      <c r="R171" s="154"/>
      <c r="AA171" s="13"/>
      <c r="AB171" s="13"/>
    </row>
    <row r="172" spans="5:28" x14ac:dyDescent="0.25">
      <c r="H172" s="280"/>
      <c r="O172" s="152"/>
      <c r="P172" s="13"/>
      <c r="Q172" s="13"/>
      <c r="AA172" s="13"/>
      <c r="AB172" s="13"/>
    </row>
    <row r="173" spans="5:28" x14ac:dyDescent="0.25">
      <c r="O173" s="120"/>
      <c r="P173" s="13"/>
      <c r="Q173" s="13"/>
      <c r="AA173" s="13"/>
      <c r="AB173" s="13"/>
    </row>
    <row r="174" spans="5:28" x14ac:dyDescent="0.25">
      <c r="O174" s="152"/>
      <c r="P174" s="13"/>
      <c r="Q174" s="13"/>
      <c r="AA174" s="13"/>
      <c r="AB174" s="13"/>
    </row>
    <row r="175" spans="5:28" x14ac:dyDescent="0.25">
      <c r="H175" s="280"/>
      <c r="O175" s="152"/>
      <c r="P175" s="13"/>
      <c r="Q175" s="13"/>
      <c r="AA175" s="13"/>
      <c r="AB175" s="13"/>
    </row>
    <row r="176" spans="5:28" x14ac:dyDescent="0.25">
      <c r="O176" s="152"/>
      <c r="P176" s="13"/>
      <c r="Q176" s="13"/>
      <c r="AA176" s="13"/>
      <c r="AB176" s="13"/>
    </row>
    <row r="177" spans="5:28" x14ac:dyDescent="0.25">
      <c r="E177" s="154"/>
      <c r="F177" s="154"/>
      <c r="H177" s="280"/>
      <c r="O177" s="152"/>
      <c r="P177" s="13"/>
      <c r="Q177" s="13"/>
      <c r="AA177" s="13"/>
      <c r="AB177" s="13"/>
    </row>
    <row r="178" spans="5:28" x14ac:dyDescent="0.25">
      <c r="O178" s="152"/>
      <c r="P178" s="13"/>
      <c r="Q178" s="13"/>
      <c r="AA178" s="13"/>
      <c r="AB178" s="13"/>
    </row>
    <row r="179" spans="5:28" x14ac:dyDescent="0.25">
      <c r="H179" s="280"/>
      <c r="O179" s="120"/>
      <c r="P179" s="13"/>
      <c r="Q179" s="13"/>
      <c r="AA179" s="13"/>
      <c r="AB179" s="13"/>
    </row>
    <row r="180" spans="5:28" x14ac:dyDescent="0.25">
      <c r="H180" s="280"/>
      <c r="O180" s="120"/>
      <c r="P180" s="13"/>
      <c r="Q180" s="13"/>
      <c r="AA180" s="13"/>
      <c r="AB180" s="13"/>
    </row>
    <row r="181" spans="5:28" x14ac:dyDescent="0.25">
      <c r="H181" s="280"/>
      <c r="O181" s="152"/>
      <c r="P181" s="13"/>
      <c r="Q181" s="13"/>
      <c r="AA181" s="13"/>
      <c r="AB181" s="13"/>
    </row>
    <row r="182" spans="5:28" x14ac:dyDescent="0.25">
      <c r="H182" s="280"/>
      <c r="I182" s="154"/>
      <c r="J182" s="154"/>
      <c r="K182" s="154"/>
      <c r="L182" s="154"/>
      <c r="M182" s="154"/>
      <c r="N182" s="154"/>
      <c r="O182" s="152"/>
      <c r="P182" s="13"/>
      <c r="Q182" s="13"/>
      <c r="R182" s="154"/>
      <c r="AA182" s="13"/>
      <c r="AB182" s="13"/>
    </row>
    <row r="183" spans="5:28" x14ac:dyDescent="0.25">
      <c r="O183" s="120"/>
      <c r="P183" s="13"/>
      <c r="Q183" s="13"/>
      <c r="AA183" s="13"/>
      <c r="AB183" s="13"/>
    </row>
    <row r="184" spans="5:28" x14ac:dyDescent="0.25">
      <c r="E184" s="108"/>
      <c r="F184" s="108"/>
      <c r="H184" s="101"/>
      <c r="O184" s="152"/>
      <c r="P184" s="13"/>
      <c r="Q184" s="13"/>
      <c r="AA184" s="13"/>
      <c r="AB184" s="13"/>
    </row>
    <row r="185" spans="5:28" x14ac:dyDescent="0.25">
      <c r="H185" s="280"/>
      <c r="O185" s="120"/>
      <c r="P185" s="13"/>
      <c r="Q185" s="13"/>
      <c r="AA185" s="13"/>
      <c r="AB185" s="13"/>
    </row>
    <row r="186" spans="5:28" x14ac:dyDescent="0.25">
      <c r="H186" s="280"/>
      <c r="O186" s="152"/>
      <c r="P186" s="13"/>
      <c r="Q186" s="13"/>
      <c r="AA186" s="13"/>
      <c r="AB186" s="13"/>
    </row>
    <row r="187" spans="5:28" x14ac:dyDescent="0.25">
      <c r="E187" s="154"/>
      <c r="F187" s="154"/>
      <c r="H187" s="280"/>
      <c r="O187" s="152"/>
      <c r="P187" s="13"/>
      <c r="Q187" s="13"/>
      <c r="AA187" s="13"/>
      <c r="AB187" s="13"/>
    </row>
    <row r="188" spans="5:28" x14ac:dyDescent="0.25">
      <c r="H188" s="280"/>
      <c r="O188" s="152"/>
      <c r="P188" s="13"/>
      <c r="Q188" s="13"/>
      <c r="AA188" s="13"/>
      <c r="AB188" s="13"/>
    </row>
    <row r="189" spans="5:28" x14ac:dyDescent="0.25">
      <c r="H189" s="280"/>
      <c r="O189" s="120"/>
      <c r="P189" s="13"/>
      <c r="Q189" s="13"/>
      <c r="AA189" s="13"/>
      <c r="AB189" s="13"/>
    </row>
    <row r="190" spans="5:28" x14ac:dyDescent="0.25">
      <c r="E190" s="154"/>
      <c r="F190" s="154"/>
      <c r="H190" s="280"/>
      <c r="O190" s="152"/>
      <c r="P190" s="13"/>
      <c r="Q190" s="13"/>
      <c r="AA190" s="13"/>
      <c r="AB190" s="13"/>
    </row>
    <row r="191" spans="5:28" x14ac:dyDescent="0.25">
      <c r="H191" s="280"/>
      <c r="O191" s="152"/>
      <c r="P191" s="13"/>
      <c r="Q191" s="13"/>
      <c r="AA191" s="13"/>
      <c r="AB191" s="13"/>
    </row>
    <row r="192" spans="5:28" x14ac:dyDescent="0.25">
      <c r="H192" s="280"/>
      <c r="I192" s="108"/>
      <c r="J192" s="108"/>
      <c r="K192" s="108"/>
      <c r="L192" s="108"/>
      <c r="M192" s="108"/>
      <c r="N192" s="108"/>
      <c r="O192" s="122"/>
      <c r="P192" s="13"/>
      <c r="Q192" s="13"/>
      <c r="R192" s="108"/>
      <c r="AA192" s="13"/>
      <c r="AB192" s="13"/>
    </row>
    <row r="193" spans="5:28" x14ac:dyDescent="0.25">
      <c r="H193" s="280"/>
      <c r="O193" s="152"/>
      <c r="P193" s="13"/>
      <c r="Q193" s="13"/>
      <c r="AA193" s="13"/>
      <c r="AB193" s="13"/>
    </row>
    <row r="194" spans="5:28" x14ac:dyDescent="0.25">
      <c r="O194" s="152"/>
      <c r="P194" s="13"/>
      <c r="Q194" s="13"/>
      <c r="AA194" s="13"/>
      <c r="AB194" s="13"/>
    </row>
    <row r="195" spans="5:28" x14ac:dyDescent="0.25">
      <c r="H195" s="280"/>
      <c r="I195" s="108"/>
      <c r="J195" s="108"/>
      <c r="K195" s="108"/>
      <c r="L195" s="108"/>
      <c r="M195" s="108"/>
      <c r="N195" s="108"/>
      <c r="O195" s="122"/>
      <c r="P195" s="13"/>
      <c r="Q195" s="13"/>
      <c r="R195" s="108"/>
      <c r="AA195" s="13"/>
      <c r="AB195" s="13"/>
    </row>
    <row r="196" spans="5:28" x14ac:dyDescent="0.25">
      <c r="O196" s="120"/>
      <c r="P196" s="13"/>
      <c r="Q196" s="13"/>
      <c r="AA196" s="13"/>
      <c r="AB196" s="13"/>
    </row>
    <row r="197" spans="5:28" x14ac:dyDescent="0.25">
      <c r="H197" s="280"/>
      <c r="O197" s="152"/>
      <c r="P197" s="13"/>
      <c r="Q197" s="13"/>
      <c r="AA197" s="13"/>
      <c r="AB197" s="13"/>
    </row>
    <row r="198" spans="5:28" x14ac:dyDescent="0.25">
      <c r="E198" s="154"/>
      <c r="F198" s="154"/>
      <c r="H198" s="280"/>
      <c r="O198" s="152"/>
      <c r="P198" s="13"/>
      <c r="Q198" s="13"/>
      <c r="AA198" s="13"/>
      <c r="AB198" s="13"/>
    </row>
    <row r="199" spans="5:28" x14ac:dyDescent="0.25">
      <c r="O199" s="120"/>
      <c r="P199" s="13"/>
      <c r="Q199" s="13"/>
      <c r="AA199" s="13"/>
      <c r="AB199" s="13"/>
    </row>
    <row r="200" spans="5:28" x14ac:dyDescent="0.25">
      <c r="E200" s="108"/>
      <c r="F200" s="108"/>
      <c r="H200" s="101"/>
      <c r="O200" s="120"/>
      <c r="P200" s="13"/>
      <c r="Q200" s="13"/>
      <c r="AA200" s="13"/>
      <c r="AB200" s="13"/>
    </row>
    <row r="201" spans="5:28" x14ac:dyDescent="0.25">
      <c r="E201" s="154"/>
      <c r="F201" s="154"/>
      <c r="H201" s="280"/>
      <c r="I201" s="154"/>
      <c r="J201" s="154"/>
      <c r="K201" s="154"/>
      <c r="L201" s="154"/>
      <c r="M201" s="154"/>
      <c r="N201" s="154"/>
      <c r="O201" s="122"/>
      <c r="P201" s="13"/>
      <c r="Q201" s="13"/>
      <c r="R201" s="154"/>
      <c r="AA201" s="13"/>
      <c r="AB201" s="13"/>
    </row>
    <row r="202" spans="5:28" x14ac:dyDescent="0.25">
      <c r="H202" s="280"/>
      <c r="O202" s="152"/>
      <c r="P202" s="13"/>
      <c r="Q202" s="13"/>
      <c r="AA202" s="13"/>
      <c r="AB202" s="13"/>
    </row>
    <row r="203" spans="5:28" x14ac:dyDescent="0.25">
      <c r="O203" s="152"/>
      <c r="P203" s="13"/>
      <c r="Q203" s="13"/>
      <c r="AA203" s="13"/>
      <c r="AB203" s="13"/>
    </row>
    <row r="204" spans="5:28" x14ac:dyDescent="0.25">
      <c r="O204" s="152"/>
      <c r="P204" s="13"/>
      <c r="Q204" s="13"/>
      <c r="AA204" s="13"/>
      <c r="AB204" s="13"/>
    </row>
    <row r="205" spans="5:28" x14ac:dyDescent="0.25">
      <c r="O205" s="152"/>
      <c r="P205" s="13"/>
      <c r="Q205" s="13"/>
      <c r="AA205" s="13"/>
      <c r="AB205" s="13"/>
    </row>
    <row r="206" spans="5:28" x14ac:dyDescent="0.25">
      <c r="H206" s="280"/>
      <c r="O206" s="120"/>
      <c r="P206" s="13"/>
      <c r="Q206" s="13"/>
      <c r="AA206" s="13"/>
      <c r="AB206" s="13"/>
    </row>
    <row r="207" spans="5:28" x14ac:dyDescent="0.25">
      <c r="E207" s="154"/>
      <c r="F207" s="154"/>
      <c r="H207" s="280"/>
      <c r="O207" s="152"/>
      <c r="P207" s="13"/>
      <c r="Q207" s="13"/>
      <c r="AA207" s="13"/>
      <c r="AB207" s="13"/>
    </row>
    <row r="208" spans="5:28" x14ac:dyDescent="0.25">
      <c r="H208" s="280"/>
      <c r="O208" s="120"/>
      <c r="P208" s="13"/>
      <c r="Q208" s="13"/>
      <c r="AA208" s="13"/>
      <c r="AB208" s="13"/>
    </row>
    <row r="209" spans="5:28" x14ac:dyDescent="0.25">
      <c r="I209" s="154"/>
      <c r="J209" s="154"/>
      <c r="K209" s="154"/>
      <c r="L209" s="154"/>
      <c r="M209" s="154"/>
      <c r="N209" s="154"/>
      <c r="O209" s="152"/>
      <c r="P209" s="13"/>
      <c r="Q209" s="13"/>
      <c r="R209" s="154"/>
      <c r="AA209" s="13"/>
      <c r="AB209" s="13"/>
    </row>
    <row r="210" spans="5:28" x14ac:dyDescent="0.25">
      <c r="H210" s="280"/>
      <c r="O210" s="152"/>
      <c r="P210" s="13"/>
      <c r="Q210" s="13"/>
      <c r="AA210" s="13"/>
      <c r="AB210" s="13"/>
    </row>
    <row r="211" spans="5:28" x14ac:dyDescent="0.25">
      <c r="H211" s="280"/>
      <c r="O211" s="120"/>
      <c r="P211" s="13"/>
      <c r="Q211" s="13"/>
      <c r="AA211" s="13"/>
      <c r="AB211" s="13"/>
    </row>
    <row r="212" spans="5:28" x14ac:dyDescent="0.25">
      <c r="H212" s="280"/>
      <c r="O212" s="120"/>
      <c r="P212" s="13"/>
      <c r="Q212" s="13"/>
      <c r="AA212" s="13"/>
      <c r="AB212" s="13"/>
    </row>
    <row r="213" spans="5:28" x14ac:dyDescent="0.25">
      <c r="I213" s="154"/>
      <c r="J213" s="154"/>
      <c r="K213" s="154"/>
      <c r="L213" s="154"/>
      <c r="M213" s="154"/>
      <c r="N213" s="154"/>
      <c r="O213" s="122"/>
      <c r="P213" s="13"/>
      <c r="Q213" s="13"/>
      <c r="R213" s="154"/>
      <c r="AA213" s="13"/>
      <c r="AB213" s="13"/>
    </row>
    <row r="214" spans="5:28" x14ac:dyDescent="0.25">
      <c r="E214" s="108"/>
      <c r="F214" s="108"/>
      <c r="H214" s="101"/>
      <c r="O214" s="152"/>
      <c r="P214" s="13"/>
      <c r="Q214" s="13"/>
      <c r="AA214" s="13"/>
      <c r="AB214" s="13"/>
    </row>
    <row r="215" spans="5:28" x14ac:dyDescent="0.25">
      <c r="E215" s="154"/>
      <c r="F215" s="154"/>
      <c r="H215" s="280"/>
      <c r="O215" s="152"/>
      <c r="P215" s="13"/>
      <c r="Q215" s="13"/>
      <c r="AA215" s="13"/>
      <c r="AB215" s="13"/>
    </row>
    <row r="216" spans="5:28" x14ac:dyDescent="0.25">
      <c r="H216" s="280"/>
      <c r="O216" s="152"/>
      <c r="P216" s="13"/>
      <c r="Q216" s="13"/>
      <c r="AA216" s="13"/>
      <c r="AB216" s="13"/>
    </row>
    <row r="217" spans="5:28" x14ac:dyDescent="0.25">
      <c r="O217" s="152"/>
      <c r="P217" s="13"/>
      <c r="Q217" s="13"/>
      <c r="AA217" s="13"/>
      <c r="AB217" s="13"/>
    </row>
    <row r="218" spans="5:28" x14ac:dyDescent="0.25">
      <c r="H218" s="280"/>
      <c r="O218" s="152"/>
      <c r="P218" s="13"/>
      <c r="Q218" s="13"/>
      <c r="AA218" s="13"/>
      <c r="AB218" s="13"/>
    </row>
    <row r="219" spans="5:28" x14ac:dyDescent="0.25">
      <c r="H219" s="280"/>
      <c r="O219" s="120"/>
      <c r="P219" s="13"/>
      <c r="Q219" s="13"/>
      <c r="AA219" s="13"/>
      <c r="AB219" s="13"/>
    </row>
    <row r="220" spans="5:28" x14ac:dyDescent="0.25">
      <c r="H220" s="280"/>
      <c r="I220" s="154"/>
      <c r="J220" s="154"/>
      <c r="K220" s="154"/>
      <c r="L220" s="154"/>
      <c r="M220" s="154"/>
      <c r="N220" s="154"/>
      <c r="O220" s="122"/>
      <c r="P220" s="13"/>
      <c r="Q220" s="13"/>
      <c r="R220" s="154"/>
      <c r="AA220" s="13"/>
      <c r="AB220" s="13"/>
    </row>
    <row r="221" spans="5:28" x14ac:dyDescent="0.25">
      <c r="H221" s="280"/>
      <c r="O221" s="152"/>
      <c r="P221" s="13"/>
      <c r="Q221" s="13"/>
      <c r="AA221" s="13"/>
      <c r="AB221" s="13"/>
    </row>
    <row r="222" spans="5:28" x14ac:dyDescent="0.25">
      <c r="G222" s="120">
        <f>3</f>
        <v>3</v>
      </c>
      <c r="H222" s="280"/>
      <c r="O222" s="152"/>
      <c r="P222" s="13"/>
      <c r="Q222" s="13"/>
      <c r="AA222" s="13"/>
      <c r="AB222" s="13"/>
    </row>
    <row r="223" spans="5:28" x14ac:dyDescent="0.25">
      <c r="H223" s="280"/>
      <c r="I223" s="154"/>
      <c r="J223" s="154"/>
      <c r="K223" s="154"/>
      <c r="L223" s="154"/>
      <c r="M223" s="154"/>
      <c r="N223" s="154"/>
      <c r="O223" s="122"/>
      <c r="P223" s="13"/>
      <c r="Q223" s="13"/>
      <c r="R223" s="154"/>
      <c r="AA223" s="13"/>
      <c r="AB223" s="13"/>
    </row>
    <row r="224" spans="5:28" x14ac:dyDescent="0.25">
      <c r="H224" s="280"/>
      <c r="O224" s="152"/>
      <c r="P224" s="13"/>
      <c r="Q224" s="13"/>
      <c r="AA224" s="13"/>
      <c r="AB224" s="13"/>
    </row>
    <row r="225" spans="8:28" x14ac:dyDescent="0.25">
      <c r="H225" s="280"/>
      <c r="I225" s="108"/>
      <c r="J225" s="108"/>
      <c r="K225" s="108"/>
      <c r="L225" s="108"/>
      <c r="M225" s="108"/>
      <c r="N225" s="108"/>
      <c r="O225" s="122"/>
      <c r="P225" s="13"/>
      <c r="Q225" s="13"/>
      <c r="R225" s="108"/>
      <c r="AA225" s="13"/>
      <c r="AB225" s="13"/>
    </row>
    <row r="226" spans="8:28" x14ac:dyDescent="0.25">
      <c r="H226" s="280"/>
      <c r="O226" s="120"/>
      <c r="P226" s="13"/>
      <c r="Q226" s="13"/>
      <c r="AA226" s="13"/>
      <c r="AB226" s="13"/>
    </row>
    <row r="227" spans="8:28" x14ac:dyDescent="0.25">
      <c r="H227" s="280"/>
      <c r="I227" s="154"/>
      <c r="J227" s="154"/>
      <c r="K227" s="154"/>
      <c r="L227" s="154"/>
      <c r="M227" s="154"/>
      <c r="N227" s="154"/>
      <c r="O227" s="122"/>
      <c r="P227" s="13"/>
      <c r="Q227" s="13"/>
      <c r="R227" s="154"/>
      <c r="AA227" s="13"/>
      <c r="AB227" s="13"/>
    </row>
    <row r="228" spans="8:28" x14ac:dyDescent="0.25">
      <c r="H228" s="280"/>
      <c r="O228" s="120"/>
      <c r="P228" s="13"/>
      <c r="Q228" s="13"/>
      <c r="AA228" s="13"/>
      <c r="AB228" s="13"/>
    </row>
    <row r="229" spans="8:28" x14ac:dyDescent="0.25">
      <c r="H229" s="280"/>
      <c r="O229" s="152"/>
      <c r="P229" s="13"/>
      <c r="Q229" s="13"/>
      <c r="AA229" s="13"/>
      <c r="AB229" s="13"/>
    </row>
    <row r="230" spans="8:28" x14ac:dyDescent="0.25">
      <c r="H230" s="280"/>
      <c r="O230" s="120"/>
      <c r="P230" s="13"/>
      <c r="Q230" s="13"/>
      <c r="AA230" s="13"/>
      <c r="AB230" s="13"/>
    </row>
    <row r="231" spans="8:28" x14ac:dyDescent="0.25">
      <c r="I231" s="154"/>
      <c r="J231" s="154"/>
      <c r="K231" s="154"/>
      <c r="L231" s="154"/>
      <c r="M231" s="154"/>
      <c r="N231" s="154"/>
      <c r="O231" s="122"/>
      <c r="P231" s="13"/>
      <c r="Q231" s="13"/>
      <c r="R231" s="154"/>
      <c r="AA231" s="13"/>
      <c r="AB231" s="13"/>
    </row>
    <row r="232" spans="8:28" x14ac:dyDescent="0.25">
      <c r="O232" s="152"/>
      <c r="P232" s="13"/>
      <c r="Q232" s="13"/>
      <c r="AA232" s="13"/>
      <c r="AB232" s="13"/>
    </row>
    <row r="233" spans="8:28" x14ac:dyDescent="0.25">
      <c r="O233" s="152"/>
      <c r="P233" s="13"/>
      <c r="Q233" s="13"/>
      <c r="AA233" s="13"/>
      <c r="AB233" s="13"/>
    </row>
    <row r="234" spans="8:28" x14ac:dyDescent="0.25">
      <c r="O234" s="120"/>
      <c r="P234" s="13"/>
      <c r="Q234" s="13"/>
      <c r="AA234" s="13"/>
      <c r="AB234" s="13"/>
    </row>
    <row r="235" spans="8:28" x14ac:dyDescent="0.25">
      <c r="O235" s="120"/>
      <c r="P235" s="13"/>
      <c r="Q235" s="13"/>
      <c r="AA235" s="13"/>
      <c r="AB235" s="13"/>
    </row>
    <row r="236" spans="8:28" x14ac:dyDescent="0.25">
      <c r="O236" s="120"/>
      <c r="P236" s="13"/>
      <c r="Q236" s="13"/>
      <c r="AA236" s="13"/>
      <c r="AB236" s="13"/>
    </row>
    <row r="237" spans="8:28" x14ac:dyDescent="0.25">
      <c r="O237" s="152"/>
      <c r="P237" s="13"/>
      <c r="Q237" s="13"/>
      <c r="AA237" s="13"/>
      <c r="AB237" s="13"/>
    </row>
    <row r="238" spans="8:28" x14ac:dyDescent="0.25">
      <c r="O238" s="120"/>
      <c r="P238" s="13"/>
      <c r="Q238" s="13"/>
      <c r="AA238" s="13"/>
      <c r="AB238" s="13"/>
    </row>
    <row r="239" spans="8:28" x14ac:dyDescent="0.25">
      <c r="I239" s="154"/>
      <c r="J239" s="154"/>
      <c r="K239" s="154"/>
      <c r="L239" s="154"/>
      <c r="M239" s="154"/>
      <c r="N239" s="154"/>
      <c r="O239" s="122"/>
      <c r="P239" s="13"/>
      <c r="Q239" s="13"/>
      <c r="R239" s="154"/>
      <c r="AA239" s="13"/>
      <c r="AB239" s="13"/>
    </row>
    <row r="240" spans="8:28" x14ac:dyDescent="0.25">
      <c r="I240" s="108"/>
      <c r="J240" s="108"/>
      <c r="K240" s="108"/>
      <c r="L240" s="108"/>
      <c r="M240" s="108"/>
      <c r="N240" s="108"/>
      <c r="O240" s="122"/>
      <c r="P240" s="13"/>
      <c r="Q240" s="13"/>
      <c r="R240" s="108"/>
      <c r="AA240" s="13"/>
      <c r="AB240" s="13"/>
    </row>
    <row r="241" spans="5:28" x14ac:dyDescent="0.25">
      <c r="O241" s="152"/>
      <c r="P241" s="13"/>
      <c r="Q241" s="13"/>
      <c r="AA241" s="13"/>
      <c r="AB241" s="13"/>
    </row>
    <row r="242" spans="5:28" x14ac:dyDescent="0.25">
      <c r="I242" s="154"/>
      <c r="J242" s="154"/>
      <c r="K242" s="154"/>
      <c r="L242" s="154"/>
      <c r="M242" s="154"/>
      <c r="N242" s="154"/>
      <c r="O242" s="122"/>
      <c r="P242" s="13"/>
      <c r="Q242" s="13"/>
      <c r="R242" s="154"/>
      <c r="AA242" s="13"/>
      <c r="AB242" s="13"/>
    </row>
    <row r="243" spans="5:28" x14ac:dyDescent="0.25">
      <c r="O243" s="120"/>
      <c r="P243" s="13"/>
      <c r="Q243" s="13"/>
      <c r="AA243" s="13"/>
      <c r="AB243" s="13"/>
    </row>
    <row r="244" spans="5:28" x14ac:dyDescent="0.25">
      <c r="O244" s="120"/>
      <c r="P244" s="13"/>
      <c r="Q244" s="13"/>
      <c r="AA244" s="13"/>
      <c r="AB244" s="13"/>
    </row>
    <row r="245" spans="5:28" x14ac:dyDescent="0.25">
      <c r="O245" s="152"/>
      <c r="P245" s="13"/>
      <c r="Q245" s="13"/>
      <c r="AA245" s="13"/>
      <c r="AB245" s="13"/>
    </row>
    <row r="246" spans="5:28" x14ac:dyDescent="0.25">
      <c r="O246" s="120"/>
      <c r="P246" s="13"/>
      <c r="Q246" s="13"/>
      <c r="AA246" s="13"/>
      <c r="AB246" s="13"/>
    </row>
    <row r="247" spans="5:28" x14ac:dyDescent="0.25">
      <c r="E247" s="154"/>
      <c r="F247" s="154"/>
      <c r="O247" s="152"/>
      <c r="P247" s="13"/>
      <c r="Q247" s="13"/>
      <c r="AA247" s="13"/>
      <c r="AB247" s="13"/>
    </row>
    <row r="248" spans="5:28" x14ac:dyDescent="0.25">
      <c r="E248" s="154"/>
      <c r="F248" s="154"/>
      <c r="P248" s="13"/>
      <c r="Q248" s="13"/>
      <c r="AA248" s="13"/>
      <c r="AB248" s="13"/>
    </row>
    <row r="249" spans="5:28" x14ac:dyDescent="0.25">
      <c r="E249" s="154"/>
      <c r="F249" s="154"/>
      <c r="O249" s="152"/>
      <c r="P249" s="13"/>
      <c r="Q249" s="13"/>
      <c r="AA249" s="13"/>
      <c r="AB249" s="13"/>
    </row>
    <row r="250" spans="5:28" x14ac:dyDescent="0.25">
      <c r="O250" s="152"/>
      <c r="P250" s="13"/>
      <c r="Q250" s="13"/>
      <c r="AA250" s="13"/>
      <c r="AB250" s="13"/>
    </row>
    <row r="251" spans="5:28" x14ac:dyDescent="0.25">
      <c r="O251" s="152"/>
      <c r="P251" s="13"/>
      <c r="Q251" s="13"/>
      <c r="AA251" s="13"/>
      <c r="AB251" s="13"/>
    </row>
    <row r="252" spans="5:28" x14ac:dyDescent="0.25">
      <c r="O252" s="152"/>
      <c r="P252" s="13"/>
      <c r="Q252" s="13"/>
      <c r="AA252" s="13"/>
      <c r="AB252" s="13"/>
    </row>
    <row r="253" spans="5:28" x14ac:dyDescent="0.25">
      <c r="O253" s="152"/>
      <c r="P253" s="13"/>
      <c r="Q253" s="13"/>
      <c r="AA253" s="13"/>
      <c r="AB253" s="13"/>
    </row>
    <row r="254" spans="5:28" x14ac:dyDescent="0.25">
      <c r="O254" s="152"/>
      <c r="P254" s="13"/>
      <c r="Q254" s="13"/>
      <c r="AA254" s="13"/>
      <c r="AB254" s="13"/>
    </row>
    <row r="255" spans="5:28" x14ac:dyDescent="0.25">
      <c r="E255" s="154"/>
      <c r="F255" s="154"/>
      <c r="O255" s="152"/>
      <c r="P255" s="13"/>
      <c r="Q255" s="13"/>
      <c r="AA255" s="13"/>
      <c r="AB255" s="13"/>
    </row>
    <row r="256" spans="5:28" x14ac:dyDescent="0.25">
      <c r="O256" s="152"/>
      <c r="P256" s="13"/>
      <c r="Q256" s="13"/>
      <c r="AA256" s="13"/>
      <c r="AB256" s="13"/>
    </row>
    <row r="257" spans="5:28" x14ac:dyDescent="0.25">
      <c r="O257" s="152"/>
      <c r="P257" s="13"/>
      <c r="Q257" s="13"/>
      <c r="AA257" s="13"/>
      <c r="AB257" s="13"/>
    </row>
    <row r="258" spans="5:28" x14ac:dyDescent="0.25">
      <c r="O258" s="152"/>
      <c r="P258" s="13"/>
      <c r="Q258" s="13"/>
      <c r="AA258" s="13"/>
      <c r="AB258" s="13"/>
    </row>
    <row r="259" spans="5:28" x14ac:dyDescent="0.25">
      <c r="O259" s="152"/>
      <c r="P259" s="13"/>
      <c r="Q259" s="13"/>
      <c r="AA259" s="13"/>
      <c r="AB259" s="13"/>
    </row>
    <row r="260" spans="5:28" x14ac:dyDescent="0.25">
      <c r="O260" s="152"/>
      <c r="P260" s="13"/>
      <c r="Q260" s="13"/>
      <c r="AA260" s="13"/>
      <c r="AB260" s="13"/>
    </row>
    <row r="261" spans="5:28" x14ac:dyDescent="0.25">
      <c r="O261" s="152"/>
      <c r="P261" s="13"/>
      <c r="Q261" s="13"/>
      <c r="AA261" s="13"/>
      <c r="AB261" s="13"/>
    </row>
    <row r="262" spans="5:28" x14ac:dyDescent="0.25">
      <c r="O262" s="152"/>
      <c r="P262" s="13"/>
      <c r="Q262" s="13"/>
      <c r="AA262" s="13"/>
      <c r="AB262" s="13"/>
    </row>
    <row r="263" spans="5:28" x14ac:dyDescent="0.25">
      <c r="O263" s="152"/>
      <c r="P263" s="13"/>
      <c r="Q263" s="13"/>
      <c r="AA263" s="13"/>
      <c r="AB263" s="13"/>
    </row>
    <row r="264" spans="5:28" x14ac:dyDescent="0.25">
      <c r="O264" s="152"/>
      <c r="P264" s="13"/>
      <c r="Q264" s="13"/>
      <c r="AA264" s="13"/>
      <c r="AB264" s="13"/>
    </row>
    <row r="265" spans="5:28" x14ac:dyDescent="0.25">
      <c r="E265" s="108"/>
      <c r="F265" s="108"/>
      <c r="H265" s="101"/>
      <c r="O265" s="152"/>
      <c r="P265" s="13"/>
      <c r="Q265" s="13"/>
      <c r="AA265" s="13"/>
      <c r="AB265" s="13"/>
    </row>
    <row r="266" spans="5:28" x14ac:dyDescent="0.25">
      <c r="E266" s="108"/>
      <c r="F266" s="108"/>
      <c r="H266" s="101"/>
      <c r="O266" s="152"/>
      <c r="P266" s="13"/>
      <c r="Q266" s="13"/>
      <c r="AA266" s="13"/>
      <c r="AB266" s="13"/>
    </row>
    <row r="267" spans="5:28" x14ac:dyDescent="0.25">
      <c r="E267" s="108"/>
      <c r="F267" s="108"/>
      <c r="H267" s="101"/>
      <c r="O267" s="120"/>
      <c r="P267" s="13"/>
      <c r="Q267" s="13"/>
      <c r="AA267" s="13"/>
      <c r="AB267" s="13"/>
    </row>
    <row r="268" spans="5:28" x14ac:dyDescent="0.25">
      <c r="I268" s="154"/>
      <c r="J268" s="154"/>
      <c r="K268" s="154"/>
      <c r="L268" s="154"/>
      <c r="M268" s="154"/>
      <c r="N268" s="154"/>
      <c r="O268" s="152"/>
      <c r="P268" s="13"/>
      <c r="Q268" s="13"/>
      <c r="R268" s="154"/>
      <c r="AA268" s="13"/>
      <c r="AB268" s="13"/>
    </row>
    <row r="269" spans="5:28" x14ac:dyDescent="0.25">
      <c r="I269" s="154"/>
      <c r="J269" s="154"/>
      <c r="K269" s="154"/>
      <c r="L269" s="154"/>
      <c r="M269" s="154"/>
      <c r="N269" s="154"/>
      <c r="O269" s="152"/>
      <c r="P269" s="13"/>
      <c r="Q269" s="13"/>
      <c r="R269" s="154"/>
      <c r="AA269" s="13"/>
      <c r="AB269" s="13"/>
    </row>
    <row r="270" spans="5:28" x14ac:dyDescent="0.25">
      <c r="E270" s="108"/>
      <c r="F270" s="108"/>
      <c r="H270" s="101"/>
      <c r="I270" s="154"/>
      <c r="J270" s="154"/>
      <c r="K270" s="154"/>
      <c r="L270" s="154"/>
      <c r="M270" s="154"/>
      <c r="N270" s="154"/>
      <c r="O270" s="152"/>
      <c r="P270" s="13"/>
      <c r="Q270" s="13"/>
      <c r="R270" s="154"/>
      <c r="AA270" s="13"/>
      <c r="AB270" s="13"/>
    </row>
    <row r="271" spans="5:28" x14ac:dyDescent="0.25">
      <c r="I271" s="154"/>
      <c r="J271" s="154"/>
      <c r="K271" s="154"/>
      <c r="L271" s="154"/>
      <c r="M271" s="154"/>
      <c r="N271" s="154"/>
      <c r="O271" s="152"/>
      <c r="P271" s="13"/>
      <c r="Q271" s="13"/>
      <c r="R271" s="154"/>
      <c r="AA271" s="13"/>
      <c r="AB271" s="13"/>
    </row>
    <row r="272" spans="5:28" x14ac:dyDescent="0.25">
      <c r="I272" s="154"/>
      <c r="J272" s="154"/>
      <c r="K272" s="154"/>
      <c r="L272" s="154"/>
      <c r="M272" s="154"/>
      <c r="N272" s="154"/>
      <c r="O272" s="152"/>
      <c r="P272" s="13"/>
      <c r="Q272" s="13"/>
      <c r="R272" s="154"/>
      <c r="AA272" s="13"/>
      <c r="AB272" s="13"/>
    </row>
    <row r="273" spans="5:28" x14ac:dyDescent="0.25">
      <c r="I273" s="154"/>
      <c r="J273" s="154"/>
      <c r="K273" s="154"/>
      <c r="L273" s="154"/>
      <c r="M273" s="154"/>
      <c r="N273" s="154"/>
      <c r="O273" s="152"/>
      <c r="P273" s="13"/>
      <c r="Q273" s="13"/>
      <c r="R273" s="154"/>
      <c r="AA273" s="13"/>
      <c r="AB273" s="13"/>
    </row>
    <row r="274" spans="5:28" x14ac:dyDescent="0.25">
      <c r="I274" s="154"/>
      <c r="J274" s="154"/>
      <c r="K274" s="154"/>
      <c r="L274" s="154"/>
      <c r="M274" s="154"/>
      <c r="N274" s="154"/>
      <c r="O274" s="152"/>
      <c r="P274" s="13"/>
      <c r="Q274" s="13"/>
      <c r="R274" s="154"/>
      <c r="AA274" s="13"/>
      <c r="AB274" s="13"/>
    </row>
    <row r="275" spans="5:28" x14ac:dyDescent="0.25">
      <c r="I275" s="154"/>
      <c r="J275" s="154"/>
      <c r="K275" s="154"/>
      <c r="L275" s="154"/>
      <c r="M275" s="154"/>
      <c r="N275" s="154"/>
      <c r="O275" s="152"/>
      <c r="P275" s="13"/>
      <c r="Q275" s="13"/>
      <c r="R275" s="154"/>
      <c r="AA275" s="13"/>
      <c r="AB275" s="13"/>
    </row>
    <row r="276" spans="5:28" x14ac:dyDescent="0.25">
      <c r="I276" s="154"/>
      <c r="J276" s="154"/>
      <c r="K276" s="154"/>
      <c r="L276" s="154"/>
      <c r="M276" s="154"/>
      <c r="N276" s="154"/>
      <c r="O276" s="152"/>
      <c r="P276" s="13"/>
      <c r="Q276" s="13"/>
      <c r="R276" s="154"/>
      <c r="AA276" s="13"/>
      <c r="AB276" s="13"/>
    </row>
    <row r="277" spans="5:28" x14ac:dyDescent="0.25">
      <c r="O277" s="152"/>
      <c r="P277" s="13"/>
      <c r="Q277" s="13"/>
      <c r="AA277" s="13"/>
      <c r="AB277" s="13"/>
    </row>
    <row r="278" spans="5:28" x14ac:dyDescent="0.25">
      <c r="O278" s="152"/>
      <c r="P278" s="13"/>
      <c r="Q278" s="13"/>
      <c r="AA278" s="13"/>
      <c r="AB278" s="13"/>
    </row>
    <row r="279" spans="5:28" x14ac:dyDescent="0.25">
      <c r="O279" s="152"/>
      <c r="P279" s="13"/>
      <c r="Q279" s="13"/>
      <c r="AA279" s="13"/>
      <c r="AB279" s="13"/>
    </row>
    <row r="280" spans="5:28" x14ac:dyDescent="0.25">
      <c r="G280" s="120">
        <f>2+2</f>
        <v>4</v>
      </c>
      <c r="I280" s="108"/>
      <c r="J280" s="108"/>
      <c r="K280" s="108"/>
      <c r="L280" s="108"/>
      <c r="M280" s="108"/>
      <c r="N280" s="108"/>
      <c r="O280" s="122"/>
      <c r="P280" s="13"/>
      <c r="Q280" s="13"/>
      <c r="R280" s="108"/>
      <c r="AA280" s="13"/>
      <c r="AB280" s="13"/>
    </row>
    <row r="281" spans="5:28" x14ac:dyDescent="0.25">
      <c r="O281" s="152"/>
      <c r="P281" s="13"/>
      <c r="Q281" s="13"/>
      <c r="AA281" s="13"/>
      <c r="AB281" s="13"/>
    </row>
    <row r="282" spans="5:28" x14ac:dyDescent="0.25">
      <c r="E282" s="108"/>
      <c r="F282" s="108"/>
      <c r="O282" s="152"/>
      <c r="P282" s="13"/>
      <c r="Q282" s="13"/>
      <c r="AA282" s="13"/>
      <c r="AB282" s="13"/>
    </row>
    <row r="283" spans="5:28" x14ac:dyDescent="0.25">
      <c r="I283" s="108"/>
      <c r="J283" s="108"/>
      <c r="K283" s="108"/>
      <c r="L283" s="108"/>
      <c r="M283" s="108"/>
      <c r="N283" s="108"/>
      <c r="O283" s="122"/>
      <c r="P283" s="13"/>
      <c r="Q283" s="13"/>
      <c r="R283" s="108"/>
      <c r="AA283" s="13"/>
      <c r="AB283" s="13"/>
    </row>
    <row r="284" spans="5:28" x14ac:dyDescent="0.25">
      <c r="E284" s="108"/>
      <c r="F284" s="108"/>
      <c r="O284" s="152"/>
      <c r="P284" s="13"/>
      <c r="Q284" s="13"/>
      <c r="AA284" s="13"/>
      <c r="AB284" s="13"/>
    </row>
    <row r="285" spans="5:28" x14ac:dyDescent="0.25">
      <c r="E285" s="108"/>
      <c r="F285" s="108"/>
      <c r="O285" s="152"/>
      <c r="P285" s="13"/>
      <c r="Q285" s="13"/>
      <c r="AA285" s="13"/>
      <c r="AB285" s="13"/>
    </row>
    <row r="286" spans="5:28" x14ac:dyDescent="0.25">
      <c r="E286" s="108"/>
      <c r="F286" s="108"/>
      <c r="P286" s="13"/>
      <c r="Q286" s="13"/>
      <c r="AA286" s="13"/>
      <c r="AB286" s="13"/>
    </row>
    <row r="287" spans="5:28" x14ac:dyDescent="0.25">
      <c r="E287" s="108"/>
      <c r="F287" s="108"/>
      <c r="O287" s="152"/>
      <c r="P287" s="13"/>
      <c r="Q287" s="13"/>
      <c r="AA287" s="13"/>
      <c r="AB287" s="13"/>
    </row>
    <row r="288" spans="5:28" x14ac:dyDescent="0.25">
      <c r="O288" s="152"/>
      <c r="P288" s="13"/>
      <c r="Q288" s="13"/>
      <c r="AA288" s="13"/>
      <c r="AB288" s="13"/>
    </row>
    <row r="289" spans="5:28" x14ac:dyDescent="0.25">
      <c r="O289" s="152"/>
      <c r="P289" s="13"/>
      <c r="Q289" s="13"/>
      <c r="AA289" s="13"/>
      <c r="AB289" s="13"/>
    </row>
    <row r="290" spans="5:28" x14ac:dyDescent="0.25">
      <c r="E290" s="154"/>
      <c r="F290" s="154"/>
      <c r="O290" s="152"/>
      <c r="P290" s="13"/>
      <c r="Q290" s="13"/>
      <c r="AA290" s="13"/>
      <c r="AB290" s="13"/>
    </row>
    <row r="291" spans="5:28" x14ac:dyDescent="0.25">
      <c r="E291" s="154"/>
      <c r="F291" s="154"/>
      <c r="O291" s="152"/>
      <c r="P291" s="13"/>
      <c r="Q291" s="13"/>
      <c r="AA291" s="13"/>
      <c r="AB291" s="13"/>
    </row>
    <row r="292" spans="5:28" x14ac:dyDescent="0.25">
      <c r="E292" s="154"/>
      <c r="F292" s="154"/>
      <c r="O292" s="152"/>
      <c r="P292" s="13"/>
      <c r="Q292" s="13"/>
      <c r="AA292" s="13"/>
      <c r="AB292" s="13"/>
    </row>
    <row r="293" spans="5:28" x14ac:dyDescent="0.25">
      <c r="E293" s="154"/>
      <c r="F293" s="154"/>
      <c r="O293" s="152"/>
      <c r="P293" s="13"/>
      <c r="Q293" s="13"/>
      <c r="AA293" s="13"/>
      <c r="AB293" s="13"/>
    </row>
    <row r="294" spans="5:28" x14ac:dyDescent="0.25">
      <c r="I294" s="108"/>
      <c r="J294" s="108"/>
      <c r="K294" s="108"/>
      <c r="L294" s="108"/>
      <c r="M294" s="108"/>
      <c r="N294" s="108"/>
      <c r="O294" s="101"/>
      <c r="P294" s="13"/>
      <c r="Q294" s="13"/>
      <c r="R294" s="108"/>
      <c r="AA294" s="13"/>
      <c r="AB294" s="13"/>
    </row>
    <row r="295" spans="5:28" x14ac:dyDescent="0.25">
      <c r="I295" s="108"/>
      <c r="J295" s="108"/>
      <c r="K295" s="108"/>
      <c r="L295" s="108"/>
      <c r="M295" s="108"/>
      <c r="N295" s="108"/>
      <c r="O295" s="101"/>
      <c r="P295" s="13"/>
      <c r="Q295" s="13"/>
      <c r="R295" s="108"/>
      <c r="AA295" s="13"/>
      <c r="AB295" s="13"/>
    </row>
    <row r="296" spans="5:28" x14ac:dyDescent="0.25">
      <c r="O296" s="152"/>
      <c r="P296" s="13"/>
      <c r="Q296" s="13"/>
      <c r="AA296" s="13"/>
      <c r="AB296" s="13"/>
    </row>
    <row r="297" spans="5:28" x14ac:dyDescent="0.25">
      <c r="O297" s="152"/>
      <c r="P297" s="13"/>
      <c r="Q297" s="13"/>
      <c r="AA297" s="13"/>
      <c r="AB297" s="13"/>
    </row>
    <row r="298" spans="5:28" x14ac:dyDescent="0.25">
      <c r="I298" s="108"/>
      <c r="J298" s="108"/>
      <c r="K298" s="108"/>
      <c r="L298" s="108"/>
      <c r="M298" s="108"/>
      <c r="N298" s="108"/>
      <c r="O298" s="122"/>
      <c r="P298" s="13"/>
      <c r="Q298" s="13"/>
      <c r="R298" s="108"/>
      <c r="AA298" s="13"/>
      <c r="AB298" s="13"/>
    </row>
    <row r="299" spans="5:28" x14ac:dyDescent="0.25">
      <c r="O299" s="152"/>
      <c r="P299" s="13"/>
      <c r="Q299" s="13"/>
      <c r="AA299" s="13"/>
      <c r="AB299" s="13"/>
    </row>
    <row r="300" spans="5:28" x14ac:dyDescent="0.25">
      <c r="I300" s="108"/>
      <c r="J300" s="108"/>
      <c r="K300" s="108"/>
      <c r="L300" s="108"/>
      <c r="M300" s="108"/>
      <c r="N300" s="108"/>
      <c r="O300" s="122"/>
      <c r="P300" s="13"/>
      <c r="Q300" s="13"/>
      <c r="R300" s="108"/>
      <c r="AA300" s="13"/>
      <c r="AB300" s="13"/>
    </row>
    <row r="301" spans="5:28" x14ac:dyDescent="0.25">
      <c r="O301" s="152"/>
      <c r="P301" s="13"/>
      <c r="Q301" s="13"/>
      <c r="AA301" s="13"/>
      <c r="AB301" s="13"/>
    </row>
    <row r="302" spans="5:28" x14ac:dyDescent="0.25">
      <c r="I302" s="154"/>
      <c r="J302" s="154"/>
      <c r="K302" s="154"/>
      <c r="L302" s="154"/>
      <c r="M302" s="154"/>
      <c r="N302" s="154"/>
      <c r="O302" s="152"/>
      <c r="P302" s="13"/>
      <c r="Q302" s="13"/>
      <c r="R302" s="154"/>
      <c r="AA302" s="13"/>
      <c r="AB302" s="13"/>
    </row>
    <row r="303" spans="5:28" x14ac:dyDescent="0.25">
      <c r="I303" s="154"/>
      <c r="J303" s="154"/>
      <c r="K303" s="154"/>
      <c r="L303" s="154"/>
      <c r="M303" s="154"/>
      <c r="N303" s="154"/>
      <c r="O303" s="152"/>
      <c r="P303" s="13"/>
      <c r="Q303" s="13"/>
      <c r="R303" s="154"/>
      <c r="AA303" s="13"/>
      <c r="AB303" s="13"/>
    </row>
    <row r="304" spans="5:28" x14ac:dyDescent="0.25">
      <c r="O304" s="152"/>
      <c r="P304" s="13"/>
      <c r="Q304" s="13"/>
      <c r="AA304" s="13"/>
      <c r="AB304" s="13"/>
    </row>
    <row r="305" spans="5:28" x14ac:dyDescent="0.25">
      <c r="O305" s="152"/>
      <c r="P305" s="13"/>
      <c r="Q305" s="13"/>
      <c r="AA305" s="13"/>
      <c r="AB305" s="13"/>
    </row>
    <row r="306" spans="5:28" x14ac:dyDescent="0.25">
      <c r="O306" s="152"/>
      <c r="P306" s="13"/>
      <c r="Q306" s="13"/>
      <c r="AA306" s="13"/>
      <c r="AB306" s="13"/>
    </row>
    <row r="307" spans="5:28" x14ac:dyDescent="0.25">
      <c r="O307" s="152"/>
      <c r="P307" s="13"/>
      <c r="Q307" s="13"/>
      <c r="AA307" s="13"/>
      <c r="AB307" s="13"/>
    </row>
    <row r="308" spans="5:28" x14ac:dyDescent="0.25">
      <c r="O308" s="152"/>
      <c r="P308" s="13"/>
      <c r="Q308" s="13"/>
      <c r="AA308" s="13"/>
      <c r="AB308" s="13"/>
    </row>
    <row r="309" spans="5:28" x14ac:dyDescent="0.25">
      <c r="O309" s="152"/>
      <c r="P309" s="13"/>
      <c r="Q309" s="13"/>
      <c r="AA309" s="13"/>
      <c r="AB309" s="13"/>
    </row>
    <row r="310" spans="5:28" x14ac:dyDescent="0.25">
      <c r="E310" s="108"/>
      <c r="F310" s="108"/>
      <c r="H310" s="101"/>
      <c r="O310" s="152"/>
      <c r="P310" s="13"/>
      <c r="Q310" s="13"/>
      <c r="AA310" s="13"/>
      <c r="AB310" s="13"/>
    </row>
    <row r="311" spans="5:28" x14ac:dyDescent="0.25">
      <c r="O311" s="152"/>
      <c r="P311" s="13"/>
      <c r="Q311" s="13"/>
      <c r="AA311" s="13"/>
      <c r="AB311" s="13"/>
    </row>
    <row r="312" spans="5:28" x14ac:dyDescent="0.25">
      <c r="O312" s="152"/>
      <c r="P312" s="13"/>
      <c r="Q312" s="13"/>
      <c r="AA312" s="13"/>
      <c r="AB312" s="13"/>
    </row>
    <row r="313" spans="5:28" x14ac:dyDescent="0.25">
      <c r="E313" s="3"/>
      <c r="F313" s="3"/>
      <c r="O313" s="152"/>
      <c r="P313" s="13"/>
      <c r="Q313" s="13"/>
      <c r="AA313" s="13"/>
      <c r="AB313" s="13"/>
    </row>
    <row r="314" spans="5:28" x14ac:dyDescent="0.25">
      <c r="O314" s="152"/>
      <c r="P314" s="13"/>
      <c r="Q314" s="13"/>
      <c r="AA314" s="13"/>
      <c r="AB314" s="13"/>
    </row>
    <row r="315" spans="5:28" x14ac:dyDescent="0.25">
      <c r="E315" s="108"/>
      <c r="F315" s="108"/>
      <c r="H315" s="101"/>
      <c r="O315" s="152"/>
      <c r="P315" s="13"/>
      <c r="Q315" s="13"/>
      <c r="AA315" s="13"/>
      <c r="AB315" s="13"/>
    </row>
    <row r="316" spans="5:28" x14ac:dyDescent="0.25">
      <c r="E316" s="108"/>
      <c r="F316" s="108"/>
      <c r="H316" s="101"/>
      <c r="O316" s="152"/>
      <c r="P316" s="13"/>
      <c r="Q316" s="13"/>
      <c r="AA316" s="13"/>
      <c r="AB316" s="13"/>
    </row>
    <row r="317" spans="5:28" x14ac:dyDescent="0.25">
      <c r="O317" s="152"/>
      <c r="P317" s="13"/>
      <c r="Q317" s="13"/>
      <c r="AA317" s="13"/>
      <c r="AB317" s="13"/>
    </row>
    <row r="318" spans="5:28" x14ac:dyDescent="0.25">
      <c r="I318" s="108"/>
      <c r="J318" s="108"/>
      <c r="K318" s="108"/>
      <c r="L318" s="108"/>
      <c r="M318" s="108"/>
      <c r="N318" s="108"/>
      <c r="O318" s="101"/>
      <c r="P318" s="13"/>
      <c r="Q318" s="13"/>
      <c r="R318" s="108"/>
      <c r="AA318" s="13"/>
      <c r="AB318" s="13"/>
    </row>
    <row r="319" spans="5:28" x14ac:dyDescent="0.25">
      <c r="O319" s="152"/>
      <c r="P319" s="13"/>
      <c r="Q319" s="13"/>
      <c r="AA319" s="13"/>
      <c r="AB319" s="13"/>
    </row>
    <row r="320" spans="5:28" x14ac:dyDescent="0.25">
      <c r="O320" s="152"/>
      <c r="P320" s="13"/>
      <c r="Q320" s="13"/>
      <c r="AA320" s="13"/>
      <c r="AB320" s="13"/>
    </row>
    <row r="321" spans="15:28" x14ac:dyDescent="0.25">
      <c r="O321" s="152"/>
      <c r="P321" s="13"/>
      <c r="Q321" s="13"/>
      <c r="AA321" s="13"/>
      <c r="AB321" s="13"/>
    </row>
    <row r="322" spans="15:28" x14ac:dyDescent="0.25">
      <c r="O322" s="152"/>
      <c r="P322" s="13"/>
      <c r="Q322" s="13"/>
      <c r="AA322" s="13"/>
      <c r="AB322" s="13"/>
    </row>
    <row r="323" spans="15:28" x14ac:dyDescent="0.25">
      <c r="O323" s="152"/>
      <c r="P323" s="13"/>
      <c r="Q323" s="13"/>
      <c r="AA323" s="13"/>
      <c r="AB323" s="13"/>
    </row>
    <row r="324" spans="15:28" x14ac:dyDescent="0.25">
      <c r="O324" s="152"/>
      <c r="P324" s="13"/>
      <c r="Q324" s="13"/>
      <c r="AA324" s="13"/>
      <c r="AB324" s="13"/>
    </row>
    <row r="325" spans="15:28" x14ac:dyDescent="0.25">
      <c r="O325" s="152"/>
      <c r="P325" s="13"/>
      <c r="Q325" s="13"/>
      <c r="AA325" s="13"/>
      <c r="AB325" s="13"/>
    </row>
    <row r="326" spans="15:28" x14ac:dyDescent="0.25">
      <c r="O326" s="152"/>
      <c r="P326" s="13"/>
      <c r="Q326" s="13"/>
      <c r="AA326" s="13"/>
      <c r="AB326" s="13"/>
    </row>
    <row r="327" spans="15:28" x14ac:dyDescent="0.25">
      <c r="O327" s="152"/>
      <c r="P327" s="13"/>
      <c r="Q327" s="13"/>
      <c r="AA327" s="13"/>
      <c r="AB327" s="13"/>
    </row>
    <row r="328" spans="15:28" x14ac:dyDescent="0.25">
      <c r="P328" s="13"/>
      <c r="Q328" s="13"/>
      <c r="AA328" s="13"/>
      <c r="AB328" s="13"/>
    </row>
    <row r="329" spans="15:28" x14ac:dyDescent="0.25">
      <c r="O329" s="152"/>
      <c r="P329" s="13"/>
      <c r="Q329" s="13"/>
      <c r="AA329" s="13"/>
      <c r="AB329" s="13"/>
    </row>
    <row r="330" spans="15:28" x14ac:dyDescent="0.25">
      <c r="P330" s="13"/>
      <c r="Q330" s="13"/>
      <c r="AA330" s="13"/>
      <c r="AB330" s="13"/>
    </row>
    <row r="331" spans="15:28" x14ac:dyDescent="0.25">
      <c r="P331" s="13"/>
      <c r="Q331" s="13"/>
      <c r="AA331" s="13"/>
      <c r="AB331" s="13"/>
    </row>
    <row r="332" spans="15:28" x14ac:dyDescent="0.25">
      <c r="P332" s="13"/>
      <c r="Q332" s="13"/>
      <c r="AA332" s="13"/>
      <c r="AB332" s="13"/>
    </row>
    <row r="333" spans="15:28" x14ac:dyDescent="0.25">
      <c r="P333" s="13"/>
      <c r="Q333" s="13"/>
      <c r="AA333" s="13"/>
      <c r="AB333" s="13"/>
    </row>
    <row r="334" spans="15:28" x14ac:dyDescent="0.25">
      <c r="P334" s="13"/>
      <c r="Q334" s="13"/>
      <c r="AA334" s="13"/>
      <c r="AB334" s="13"/>
    </row>
    <row r="335" spans="15:28" x14ac:dyDescent="0.25">
      <c r="P335" s="13"/>
      <c r="Q335" s="13"/>
      <c r="AA335" s="13"/>
      <c r="AB335" s="13"/>
    </row>
    <row r="336" spans="15:28" x14ac:dyDescent="0.25">
      <c r="P336" s="13"/>
      <c r="Q336" s="13"/>
      <c r="AA336" s="13"/>
      <c r="AB336" s="13"/>
    </row>
    <row r="337" spans="16:28" x14ac:dyDescent="0.25">
      <c r="P337" s="13"/>
      <c r="Q337" s="13"/>
      <c r="AA337" s="13"/>
      <c r="AB337" s="13"/>
    </row>
    <row r="338" spans="16:28" x14ac:dyDescent="0.25">
      <c r="P338" s="13"/>
      <c r="Q338" s="13"/>
      <c r="AA338" s="13"/>
      <c r="AB338" s="13"/>
    </row>
    <row r="339" spans="16:28" x14ac:dyDescent="0.25">
      <c r="P339" s="13"/>
      <c r="Q339" s="13"/>
      <c r="AA339" s="13"/>
      <c r="AB339" s="13"/>
    </row>
    <row r="340" spans="16:28" x14ac:dyDescent="0.25">
      <c r="P340" s="13"/>
      <c r="Q340" s="13"/>
      <c r="AA340" s="13"/>
      <c r="AB340" s="13"/>
    </row>
    <row r="341" spans="16:28" x14ac:dyDescent="0.25">
      <c r="P341" s="13"/>
      <c r="Q341" s="13"/>
      <c r="AA341" s="13"/>
      <c r="AB341" s="13"/>
    </row>
    <row r="342" spans="16:28" x14ac:dyDescent="0.25">
      <c r="P342" s="13"/>
      <c r="Q342" s="13"/>
      <c r="AA342" s="13"/>
      <c r="AB342" s="13"/>
    </row>
    <row r="343" spans="16:28" x14ac:dyDescent="0.25">
      <c r="P343" s="13"/>
      <c r="Q343" s="13"/>
      <c r="AA343" s="13"/>
      <c r="AB343" s="13"/>
    </row>
    <row r="344" spans="16:28" x14ac:dyDescent="0.25">
      <c r="P344" s="13"/>
      <c r="Q344" s="13"/>
      <c r="AA344" s="13"/>
      <c r="AB344" s="13"/>
    </row>
    <row r="345" spans="16:28" x14ac:dyDescent="0.25">
      <c r="P345" s="13"/>
      <c r="Q345" s="13"/>
      <c r="AA345" s="13"/>
      <c r="AB345" s="13"/>
    </row>
    <row r="346" spans="16:28" x14ac:dyDescent="0.25">
      <c r="P346" s="13"/>
      <c r="Q346" s="13"/>
      <c r="AA346" s="13"/>
      <c r="AB346" s="13"/>
    </row>
    <row r="347" spans="16:28" x14ac:dyDescent="0.25">
      <c r="P347" s="13"/>
      <c r="Q347" s="13"/>
      <c r="AA347" s="13"/>
      <c r="AB347" s="13"/>
    </row>
    <row r="348" spans="16:28" x14ac:dyDescent="0.25">
      <c r="P348" s="13"/>
      <c r="Q348" s="13"/>
      <c r="AA348" s="13"/>
      <c r="AB348" s="13"/>
    </row>
    <row r="349" spans="16:28" x14ac:dyDescent="0.25">
      <c r="P349" s="13"/>
      <c r="Q349" s="13"/>
      <c r="AA349" s="13"/>
      <c r="AB349" s="13"/>
    </row>
    <row r="350" spans="16:28" x14ac:dyDescent="0.25">
      <c r="P350" s="13"/>
      <c r="Q350" s="13"/>
      <c r="AA350" s="13"/>
      <c r="AB350" s="13"/>
    </row>
    <row r="351" spans="16:28" x14ac:dyDescent="0.25">
      <c r="P351" s="13"/>
      <c r="Q351" s="13"/>
      <c r="AA351" s="13"/>
      <c r="AB351" s="13"/>
    </row>
    <row r="352" spans="16:28" x14ac:dyDescent="0.25">
      <c r="P352" s="13"/>
      <c r="Q352" s="13"/>
      <c r="AA352" s="13"/>
      <c r="AB352" s="13"/>
    </row>
    <row r="353" spans="16:28" x14ac:dyDescent="0.25">
      <c r="P353" s="13"/>
      <c r="Q353" s="13"/>
      <c r="AA353" s="13"/>
      <c r="AB353" s="13"/>
    </row>
    <row r="354" spans="16:28" x14ac:dyDescent="0.25">
      <c r="P354" s="13"/>
      <c r="Q354" s="13"/>
      <c r="AA354" s="13"/>
      <c r="AB354" s="13"/>
    </row>
    <row r="355" spans="16:28" x14ac:dyDescent="0.25">
      <c r="P355" s="13"/>
      <c r="Q355" s="13"/>
      <c r="AA355" s="13"/>
      <c r="AB355" s="13"/>
    </row>
    <row r="356" spans="16:28" x14ac:dyDescent="0.25">
      <c r="P356" s="13"/>
      <c r="Q356" s="13"/>
      <c r="AA356" s="13"/>
      <c r="AB356" s="13"/>
    </row>
    <row r="357" spans="16:28" x14ac:dyDescent="0.25">
      <c r="P357" s="13"/>
      <c r="Q357" s="13"/>
      <c r="AA357" s="13"/>
      <c r="AB357" s="13"/>
    </row>
    <row r="358" spans="16:28" x14ac:dyDescent="0.25">
      <c r="P358" s="13"/>
      <c r="Q358" s="13"/>
      <c r="AA358" s="13"/>
      <c r="AB358" s="13"/>
    </row>
    <row r="359" spans="16:28" x14ac:dyDescent="0.25">
      <c r="P359" s="13"/>
      <c r="Q359" s="13"/>
      <c r="AA359" s="13"/>
      <c r="AB359" s="13"/>
    </row>
    <row r="360" spans="16:28" x14ac:dyDescent="0.25">
      <c r="P360" s="13"/>
      <c r="Q360" s="13"/>
      <c r="AA360" s="13"/>
      <c r="AB360" s="13"/>
    </row>
    <row r="361" spans="16:28" x14ac:dyDescent="0.25">
      <c r="P361" s="13"/>
      <c r="Q361" s="13"/>
      <c r="AA361" s="13"/>
      <c r="AB361" s="13"/>
    </row>
    <row r="362" spans="16:28" x14ac:dyDescent="0.25">
      <c r="P362" s="13"/>
      <c r="Q362" s="13"/>
      <c r="AA362" s="13"/>
      <c r="AB362" s="13"/>
    </row>
    <row r="363" spans="16:28" x14ac:dyDescent="0.25">
      <c r="P363" s="13"/>
      <c r="Q363" s="13"/>
      <c r="AA363" s="13"/>
      <c r="AB363" s="13"/>
    </row>
    <row r="364" spans="16:28" x14ac:dyDescent="0.25">
      <c r="P364" s="13"/>
      <c r="Q364" s="13"/>
      <c r="AA364" s="13"/>
      <c r="AB364" s="13"/>
    </row>
    <row r="365" spans="16:28" x14ac:dyDescent="0.25">
      <c r="P365" s="13"/>
      <c r="Q365" s="13"/>
      <c r="AA365" s="13"/>
      <c r="AB365" s="13"/>
    </row>
    <row r="366" spans="16:28" x14ac:dyDescent="0.25">
      <c r="P366" s="13"/>
      <c r="Q366" s="13"/>
      <c r="AA366" s="13"/>
      <c r="AB366" s="13"/>
    </row>
    <row r="367" spans="16:28" x14ac:dyDescent="0.25">
      <c r="P367" s="13"/>
      <c r="Q367" s="13"/>
      <c r="AA367" s="13"/>
      <c r="AB367" s="13"/>
    </row>
    <row r="368" spans="16:28" x14ac:dyDescent="0.25">
      <c r="P368" s="13"/>
      <c r="Q368" s="13"/>
      <c r="AA368" s="13"/>
      <c r="AB368" s="13"/>
    </row>
    <row r="369" spans="16:28" x14ac:dyDescent="0.25">
      <c r="P369" s="13"/>
      <c r="Q369" s="13"/>
      <c r="AA369" s="13"/>
      <c r="AB369" s="13"/>
    </row>
    <row r="370" spans="16:28" x14ac:dyDescent="0.25">
      <c r="P370" s="13"/>
      <c r="Q370" s="13"/>
      <c r="AA370" s="13"/>
      <c r="AB370" s="13"/>
    </row>
    <row r="371" spans="16:28" x14ac:dyDescent="0.25">
      <c r="P371" s="13"/>
      <c r="Q371" s="13"/>
      <c r="AA371" s="13"/>
      <c r="AB371" s="13"/>
    </row>
    <row r="372" spans="16:28" x14ac:dyDescent="0.25">
      <c r="P372" s="13"/>
      <c r="Q372" s="13"/>
      <c r="AA372" s="13"/>
      <c r="AB372" s="13"/>
    </row>
    <row r="373" spans="16:28" x14ac:dyDescent="0.25">
      <c r="P373" s="13"/>
      <c r="Q373" s="13"/>
      <c r="AA373" s="13"/>
      <c r="AB373" s="13"/>
    </row>
    <row r="374" spans="16:28" x14ac:dyDescent="0.25">
      <c r="P374" s="13"/>
      <c r="Q374" s="13"/>
      <c r="AA374" s="13"/>
      <c r="AB374" s="13"/>
    </row>
    <row r="375" spans="16:28" x14ac:dyDescent="0.25">
      <c r="P375" s="13"/>
      <c r="Q375" s="13"/>
      <c r="AA375" s="13"/>
      <c r="AB375" s="13"/>
    </row>
    <row r="376" spans="16:28" x14ac:dyDescent="0.25">
      <c r="P376" s="13"/>
      <c r="Q376" s="13"/>
      <c r="AA376" s="13"/>
      <c r="AB376" s="13"/>
    </row>
    <row r="377" spans="16:28" x14ac:dyDescent="0.25">
      <c r="P377" s="13"/>
      <c r="Q377" s="13"/>
      <c r="AA377" s="13"/>
      <c r="AB377" s="13"/>
    </row>
    <row r="378" spans="16:28" x14ac:dyDescent="0.25">
      <c r="P378" s="13"/>
      <c r="Q378" s="13"/>
      <c r="AA378" s="13"/>
      <c r="AB378" s="13"/>
    </row>
    <row r="379" spans="16:28" x14ac:dyDescent="0.25">
      <c r="P379" s="13"/>
      <c r="Q379" s="13"/>
      <c r="AA379" s="13"/>
      <c r="AB379" s="13"/>
    </row>
    <row r="380" spans="16:28" x14ac:dyDescent="0.25">
      <c r="P380" s="13"/>
      <c r="Q380" s="13"/>
      <c r="AA380" s="13"/>
      <c r="AB380" s="13"/>
    </row>
    <row r="381" spans="16:28" x14ac:dyDescent="0.25">
      <c r="P381" s="13"/>
      <c r="Q381" s="13"/>
      <c r="AA381" s="13"/>
      <c r="AB381" s="13"/>
    </row>
    <row r="382" spans="16:28" x14ac:dyDescent="0.25">
      <c r="P382" s="13"/>
      <c r="Q382" s="13"/>
      <c r="AA382" s="13"/>
      <c r="AB382" s="13"/>
    </row>
    <row r="383" spans="16:28" x14ac:dyDescent="0.25">
      <c r="P383" s="13"/>
      <c r="Q383" s="13"/>
      <c r="AA383" s="13"/>
      <c r="AB383" s="13"/>
    </row>
    <row r="384" spans="16:28" x14ac:dyDescent="0.25">
      <c r="P384" s="13"/>
      <c r="Q384" s="13"/>
      <c r="AA384" s="13"/>
      <c r="AB384" s="13"/>
    </row>
    <row r="385" spans="16:28" x14ac:dyDescent="0.25">
      <c r="P385" s="13"/>
      <c r="Q385" s="13"/>
      <c r="AA385" s="13"/>
      <c r="AB385" s="13"/>
    </row>
    <row r="386" spans="16:28" x14ac:dyDescent="0.25">
      <c r="P386" s="13"/>
      <c r="Q386" s="13"/>
      <c r="AA386" s="13"/>
      <c r="AB386" s="13"/>
    </row>
    <row r="387" spans="16:28" x14ac:dyDescent="0.25">
      <c r="P387" s="13"/>
      <c r="Q387" s="13"/>
      <c r="AA387" s="13"/>
      <c r="AB387" s="13"/>
    </row>
    <row r="388" spans="16:28" x14ac:dyDescent="0.25">
      <c r="P388" s="13"/>
      <c r="Q388" s="13"/>
      <c r="AA388" s="13"/>
      <c r="AB388" s="13"/>
    </row>
    <row r="389" spans="16:28" x14ac:dyDescent="0.25">
      <c r="P389" s="13"/>
      <c r="Q389" s="13"/>
      <c r="AA389" s="13"/>
      <c r="AB389" s="13"/>
    </row>
    <row r="390" spans="16:28" x14ac:dyDescent="0.25">
      <c r="P390" s="13"/>
      <c r="Q390" s="13"/>
      <c r="AA390" s="13"/>
      <c r="AB390" s="13"/>
    </row>
    <row r="391" spans="16:28" x14ac:dyDescent="0.25">
      <c r="P391" s="13"/>
      <c r="Q391" s="13"/>
      <c r="AA391" s="13"/>
      <c r="AB391" s="13"/>
    </row>
    <row r="392" spans="16:28" x14ac:dyDescent="0.25">
      <c r="P392" s="13"/>
      <c r="Q392" s="13"/>
      <c r="AA392" s="13"/>
      <c r="AB392" s="13"/>
    </row>
    <row r="393" spans="16:28" x14ac:dyDescent="0.25">
      <c r="P393" s="13"/>
      <c r="Q393" s="13"/>
      <c r="AA393" s="13"/>
      <c r="AB393" s="13"/>
    </row>
    <row r="394" spans="16:28" x14ac:dyDescent="0.25">
      <c r="P394" s="13"/>
      <c r="Q394" s="13"/>
      <c r="AA394" s="13"/>
      <c r="AB394" s="13"/>
    </row>
    <row r="395" spans="16:28" x14ac:dyDescent="0.25">
      <c r="P395" s="13"/>
      <c r="Q395" s="13"/>
      <c r="AA395" s="13"/>
      <c r="AB395" s="13"/>
    </row>
    <row r="396" spans="16:28" x14ac:dyDescent="0.25">
      <c r="P396" s="13"/>
      <c r="Q396" s="13"/>
      <c r="AA396" s="13"/>
      <c r="AB396" s="13"/>
    </row>
    <row r="397" spans="16:28" x14ac:dyDescent="0.25">
      <c r="P397" s="13"/>
      <c r="Q397" s="13"/>
      <c r="AA397" s="13"/>
      <c r="AB397" s="13"/>
    </row>
    <row r="398" spans="16:28" x14ac:dyDescent="0.25">
      <c r="P398" s="13"/>
      <c r="Q398" s="13"/>
      <c r="AA398" s="13"/>
      <c r="AB398" s="13"/>
    </row>
    <row r="399" spans="16:28" x14ac:dyDescent="0.25">
      <c r="P399" s="13"/>
      <c r="Q399" s="13"/>
      <c r="AA399" s="13"/>
      <c r="AB399" s="13"/>
    </row>
    <row r="400" spans="16:28" x14ac:dyDescent="0.25">
      <c r="P400" s="13"/>
      <c r="Q400" s="13"/>
      <c r="AA400" s="13"/>
      <c r="AB400" s="13"/>
    </row>
    <row r="401" spans="16:28" x14ac:dyDescent="0.25">
      <c r="P401" s="13"/>
      <c r="Q401" s="13"/>
      <c r="AA401" s="13"/>
      <c r="AB401" s="13"/>
    </row>
    <row r="402" spans="16:28" x14ac:dyDescent="0.25">
      <c r="P402" s="13"/>
      <c r="Q402" s="13"/>
      <c r="AA402" s="13"/>
      <c r="AB402" s="13"/>
    </row>
    <row r="403" spans="16:28" x14ac:dyDescent="0.25">
      <c r="P403" s="13"/>
      <c r="Q403" s="13"/>
      <c r="AA403" s="13"/>
      <c r="AB403" s="13"/>
    </row>
    <row r="404" spans="16:28" x14ac:dyDescent="0.25">
      <c r="P404" s="13"/>
      <c r="Q404" s="13"/>
      <c r="AA404" s="13"/>
      <c r="AB404" s="13"/>
    </row>
    <row r="405" spans="16:28" x14ac:dyDescent="0.25">
      <c r="P405" s="13"/>
      <c r="Q405" s="13"/>
      <c r="AA405" s="13"/>
      <c r="AB405" s="13"/>
    </row>
    <row r="406" spans="16:28" x14ac:dyDescent="0.25">
      <c r="P406" s="13"/>
      <c r="Q406" s="13"/>
      <c r="AA406" s="13"/>
      <c r="AB406" s="13"/>
    </row>
    <row r="407" spans="16:28" x14ac:dyDescent="0.25">
      <c r="P407" s="13"/>
      <c r="Q407" s="13"/>
      <c r="AA407" s="13"/>
      <c r="AB407" s="13"/>
    </row>
    <row r="408" spans="16:28" x14ac:dyDescent="0.25">
      <c r="P408" s="13"/>
      <c r="Q408" s="13"/>
      <c r="AA408" s="13"/>
      <c r="AB408" s="13"/>
    </row>
    <row r="409" spans="16:28" x14ac:dyDescent="0.25">
      <c r="P409" s="13"/>
      <c r="Q409" s="13"/>
      <c r="AA409" s="13"/>
      <c r="AB409" s="13"/>
    </row>
    <row r="410" spans="16:28" x14ac:dyDescent="0.25">
      <c r="P410" s="13"/>
      <c r="Q410" s="13"/>
      <c r="AA410" s="13"/>
      <c r="AB410" s="13"/>
    </row>
    <row r="411" spans="16:28" x14ac:dyDescent="0.25">
      <c r="P411" s="13"/>
      <c r="Q411" s="13"/>
      <c r="AA411" s="13"/>
      <c r="AB411" s="13"/>
    </row>
    <row r="412" spans="16:28" x14ac:dyDescent="0.25">
      <c r="P412" s="13"/>
      <c r="Q412" s="13"/>
      <c r="AA412" s="13"/>
      <c r="AB412" s="13"/>
    </row>
    <row r="413" spans="16:28" x14ac:dyDescent="0.25">
      <c r="P413" s="13"/>
      <c r="Q413" s="13"/>
      <c r="AA413" s="13"/>
      <c r="AB413" s="13"/>
    </row>
    <row r="414" spans="16:28" x14ac:dyDescent="0.25">
      <c r="P414" s="13"/>
      <c r="Q414" s="13"/>
      <c r="AA414" s="13"/>
      <c r="AB414" s="13"/>
    </row>
    <row r="415" spans="16:28" x14ac:dyDescent="0.25">
      <c r="P415" s="13"/>
      <c r="Q415" s="13"/>
      <c r="AA415" s="13"/>
      <c r="AB415" s="13"/>
    </row>
    <row r="416" spans="16:28" x14ac:dyDescent="0.25">
      <c r="P416" s="13"/>
      <c r="Q416" s="13"/>
      <c r="AA416" s="13"/>
      <c r="AB416" s="13"/>
    </row>
    <row r="417" spans="16:28" x14ac:dyDescent="0.25">
      <c r="P417" s="13"/>
      <c r="Q417" s="13"/>
      <c r="AA417" s="13"/>
      <c r="AB417" s="13"/>
    </row>
    <row r="418" spans="16:28" x14ac:dyDescent="0.25">
      <c r="P418" s="13"/>
      <c r="Q418" s="13"/>
      <c r="AA418" s="13"/>
      <c r="AB418" s="13"/>
    </row>
    <row r="419" spans="16:28" x14ac:dyDescent="0.25">
      <c r="P419" s="13"/>
      <c r="Q419" s="13"/>
      <c r="AA419" s="13"/>
      <c r="AB419" s="13"/>
    </row>
    <row r="420" spans="16:28" x14ac:dyDescent="0.25">
      <c r="P420" s="13"/>
      <c r="Q420" s="13"/>
      <c r="AA420" s="13"/>
      <c r="AB420" s="13"/>
    </row>
    <row r="421" spans="16:28" x14ac:dyDescent="0.25">
      <c r="P421" s="13"/>
      <c r="Q421" s="13"/>
      <c r="AA421" s="13"/>
      <c r="AB421" s="13"/>
    </row>
    <row r="422" spans="16:28" x14ac:dyDescent="0.25">
      <c r="P422" s="13"/>
      <c r="Q422" s="13"/>
      <c r="AA422" s="13"/>
      <c r="AB422" s="13"/>
    </row>
    <row r="423" spans="16:28" x14ac:dyDescent="0.25">
      <c r="P423" s="13"/>
      <c r="Q423" s="13"/>
      <c r="AA423" s="13"/>
      <c r="AB423" s="13"/>
    </row>
    <row r="424" spans="16:28" x14ac:dyDescent="0.25">
      <c r="P424" s="13"/>
      <c r="Q424" s="13"/>
      <c r="AA424" s="13"/>
      <c r="AB424" s="13"/>
    </row>
    <row r="425" spans="16:28" x14ac:dyDescent="0.25">
      <c r="P425" s="13"/>
      <c r="Q425" s="13"/>
      <c r="AA425" s="13"/>
      <c r="AB425" s="13"/>
    </row>
    <row r="426" spans="16:28" x14ac:dyDescent="0.25">
      <c r="P426" s="13"/>
      <c r="Q426" s="13"/>
      <c r="AA426" s="13"/>
      <c r="AB426" s="13"/>
    </row>
    <row r="427" spans="16:28" x14ac:dyDescent="0.25">
      <c r="P427" s="13"/>
      <c r="Q427" s="13"/>
      <c r="AA427" s="13"/>
      <c r="AB427" s="13"/>
    </row>
    <row r="428" spans="16:28" x14ac:dyDescent="0.25">
      <c r="P428" s="13"/>
      <c r="Q428" s="13"/>
      <c r="AA428" s="13"/>
      <c r="AB428" s="13"/>
    </row>
    <row r="429" spans="16:28" x14ac:dyDescent="0.25">
      <c r="P429" s="13"/>
      <c r="Q429" s="13"/>
      <c r="AA429" s="13"/>
      <c r="AB429" s="13"/>
    </row>
    <row r="430" spans="16:28" x14ac:dyDescent="0.25">
      <c r="P430" s="13"/>
      <c r="Q430" s="13"/>
      <c r="AA430" s="13"/>
      <c r="AB430" s="13"/>
    </row>
  </sheetData>
  <sortState xmlns:xlrd2="http://schemas.microsoft.com/office/spreadsheetml/2017/richdata2" ref="A10:AW35">
    <sortCondition ref="A35"/>
  </sortState>
  <mergeCells count="6">
    <mergeCell ref="A5:C5"/>
    <mergeCell ref="A1:C2"/>
    <mergeCell ref="A9:C9"/>
    <mergeCell ref="A36:C36"/>
    <mergeCell ref="AM3:AN3"/>
    <mergeCell ref="U3:X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Mini kids</vt:lpstr>
      <vt:lpstr>Children female</vt:lpstr>
      <vt:lpstr>Children male</vt:lpstr>
      <vt:lpstr>Juniors female</vt:lpstr>
      <vt:lpstr>Juniors male</vt:lpstr>
      <vt:lpstr>Adults female</vt:lpstr>
      <vt:lpstr>Adults male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owner</cp:lastModifiedBy>
  <dcterms:created xsi:type="dcterms:W3CDTF">2017-05-10T12:17:38Z</dcterms:created>
  <dcterms:modified xsi:type="dcterms:W3CDTF">2026-03-15T19:33:00Z</dcterms:modified>
</cp:coreProperties>
</file>